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klina\Desktop\Тарифы 2025 г\"/>
    </mc:Choice>
  </mc:AlternateContent>
  <bookViews>
    <workbookView xWindow="0" yWindow="0" windowWidth="28800" windowHeight="11835"/>
  </bookViews>
  <sheets>
    <sheet name="ТКО" sheetId="1" r:id="rId1"/>
  </sheets>
  <definedNames>
    <definedName name="_xlnm.Print_Titles" localSheetId="0">ТКО!$9:$11</definedName>
  </definedName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5" i="1" l="1"/>
  <c r="I40" i="1"/>
  <c r="I53" i="1"/>
  <c r="I45" i="1"/>
  <c r="I62" i="1"/>
  <c r="I56" i="1"/>
  <c r="I68" i="1"/>
  <c r="I63" i="1"/>
  <c r="I97" i="1"/>
  <c r="I84" i="1"/>
  <c r="I82" i="1"/>
  <c r="I21" i="1"/>
  <c r="I18" i="1"/>
  <c r="M21" i="1"/>
  <c r="M18" i="1"/>
  <c r="M15" i="1"/>
  <c r="M97" i="1"/>
  <c r="M89" i="1"/>
  <c r="M84" i="1"/>
  <c r="M82" i="1"/>
  <c r="M96" i="1"/>
  <c r="M148" i="1"/>
  <c r="K40" i="1"/>
  <c r="K53" i="1"/>
  <c r="K45" i="1"/>
  <c r="K62" i="1"/>
  <c r="K56" i="1"/>
  <c r="K63" i="1"/>
  <c r="K97" i="1"/>
  <c r="K84" i="1"/>
  <c r="K82" i="1"/>
  <c r="K21" i="1"/>
  <c r="K18" i="1"/>
  <c r="K15" i="1"/>
  <c r="K28" i="1"/>
  <c r="J40" i="1"/>
  <c r="J49" i="1"/>
  <c r="J45" i="1"/>
  <c r="J56" i="1"/>
  <c r="J63" i="1"/>
  <c r="J97" i="1"/>
  <c r="J84" i="1"/>
  <c r="J82" i="1"/>
  <c r="J21" i="1"/>
  <c r="J18" i="1"/>
  <c r="J15" i="1"/>
  <c r="J28" i="1"/>
  <c r="E43" i="1"/>
  <c r="F43" i="1"/>
  <c r="F40" i="1"/>
  <c r="E44" i="1"/>
  <c r="F44" i="1"/>
  <c r="F47" i="1"/>
  <c r="F46" i="1"/>
  <c r="F45" i="1"/>
  <c r="F48" i="1"/>
  <c r="E49" i="1"/>
  <c r="F49" i="1"/>
  <c r="F53" i="1"/>
  <c r="E55" i="1"/>
  <c r="F55" i="1"/>
  <c r="E58" i="1"/>
  <c r="F58" i="1"/>
  <c r="F62" i="1"/>
  <c r="F56" i="1"/>
  <c r="F65" i="1"/>
  <c r="F66" i="1"/>
  <c r="E67" i="1"/>
  <c r="F67" i="1"/>
  <c r="E69" i="1"/>
  <c r="F69" i="1"/>
  <c r="F70" i="1"/>
  <c r="E75" i="1"/>
  <c r="F75" i="1"/>
  <c r="F76" i="1"/>
  <c r="F81" i="1"/>
  <c r="F97" i="1"/>
  <c r="F84" i="1"/>
  <c r="F82" i="1"/>
  <c r="F137" i="1"/>
  <c r="F21" i="1"/>
  <c r="F18" i="1"/>
  <c r="F15" i="1"/>
  <c r="F28" i="1"/>
  <c r="E40" i="1"/>
  <c r="E46" i="1"/>
  <c r="E45" i="1"/>
  <c r="E39" i="1"/>
  <c r="E53" i="1"/>
  <c r="E62" i="1"/>
  <c r="E56" i="1"/>
  <c r="E64" i="1"/>
  <c r="E68" i="1"/>
  <c r="E81" i="1"/>
  <c r="E63" i="1"/>
  <c r="E97" i="1"/>
  <c r="E84" i="1"/>
  <c r="E82" i="1"/>
  <c r="E21" i="1"/>
  <c r="E18" i="1"/>
  <c r="E15" i="1"/>
  <c r="E28" i="1"/>
  <c r="D40" i="1"/>
  <c r="D46" i="1"/>
  <c r="D53" i="1"/>
  <c r="D62" i="1"/>
  <c r="D56" i="1"/>
  <c r="D68" i="1"/>
  <c r="D63" i="1"/>
  <c r="D97" i="1"/>
  <c r="D84" i="1"/>
  <c r="D82" i="1"/>
  <c r="D21" i="1"/>
  <c r="D18" i="1"/>
  <c r="D15" i="1"/>
  <c r="D28" i="1"/>
  <c r="B151" i="1"/>
  <c r="B150" i="1"/>
  <c r="O147" i="1"/>
  <c r="O146" i="1"/>
  <c r="O145" i="1"/>
  <c r="O144" i="1"/>
  <c r="O143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0" i="1"/>
  <c r="O79" i="1"/>
  <c r="O74" i="1"/>
  <c r="O73" i="1"/>
  <c r="O72" i="1"/>
  <c r="O71" i="1"/>
  <c r="O70" i="1"/>
  <c r="O61" i="1"/>
  <c r="O52" i="1"/>
  <c r="O48" i="1"/>
  <c r="I47" i="1"/>
  <c r="O43" i="1"/>
  <c r="O38" i="1"/>
  <c r="O37" i="1"/>
  <c r="O36" i="1"/>
  <c r="O35" i="1"/>
  <c r="O34" i="1"/>
  <c r="O31" i="1"/>
  <c r="O30" i="1"/>
  <c r="O29" i="1"/>
  <c r="O27" i="1"/>
  <c r="O26" i="1"/>
  <c r="O25" i="1"/>
  <c r="O24" i="1"/>
  <c r="O23" i="1"/>
  <c r="O22" i="1"/>
  <c r="O20" i="1"/>
  <c r="O19" i="1"/>
  <c r="O17" i="1"/>
  <c r="O14" i="1"/>
  <c r="O13" i="1"/>
  <c r="I15" i="1"/>
  <c r="I28" i="1"/>
  <c r="O18" i="1"/>
  <c r="E33" i="1"/>
  <c r="E32" i="1"/>
  <c r="E142" i="1"/>
  <c r="F64" i="1"/>
  <c r="F63" i="1"/>
  <c r="J39" i="1"/>
  <c r="O21" i="1"/>
  <c r="D45" i="1"/>
  <c r="D39" i="1"/>
  <c r="D33" i="1"/>
  <c r="D32" i="1"/>
  <c r="D150" i="1"/>
  <c r="D151" i="1"/>
  <c r="K39" i="1"/>
  <c r="K33" i="1"/>
  <c r="K32" i="1"/>
  <c r="M47" i="1"/>
  <c r="O47" i="1"/>
  <c r="F68" i="1"/>
  <c r="M45" i="1"/>
  <c r="O45" i="1"/>
  <c r="I39" i="1"/>
  <c r="O82" i="1"/>
  <c r="F39" i="1"/>
  <c r="F33" i="1"/>
  <c r="F32" i="1"/>
  <c r="J142" i="1"/>
  <c r="J33" i="1"/>
  <c r="J32" i="1"/>
  <c r="J150" i="1"/>
  <c r="J151" i="1"/>
  <c r="M63" i="1"/>
  <c r="O63" i="1"/>
  <c r="M44" i="1"/>
  <c r="O44" i="1"/>
  <c r="M64" i="1"/>
  <c r="M57" i="1"/>
  <c r="O57" i="1"/>
  <c r="M51" i="1"/>
  <c r="O51" i="1"/>
  <c r="M54" i="1"/>
  <c r="O54" i="1"/>
  <c r="M69" i="1"/>
  <c r="O69" i="1"/>
  <c r="M60" i="1"/>
  <c r="O60" i="1"/>
  <c r="M50" i="1"/>
  <c r="O50" i="1"/>
  <c r="M46" i="1"/>
  <c r="O46" i="1"/>
  <c r="M55" i="1"/>
  <c r="O55" i="1"/>
  <c r="M75" i="1"/>
  <c r="O75" i="1"/>
  <c r="M68" i="1"/>
  <c r="O68" i="1"/>
  <c r="M59" i="1"/>
  <c r="O59" i="1"/>
  <c r="M49" i="1"/>
  <c r="O49" i="1"/>
  <c r="M78" i="1"/>
  <c r="O78" i="1"/>
  <c r="M53" i="1"/>
  <c r="O53" i="1"/>
  <c r="M81" i="1"/>
  <c r="O81" i="1"/>
  <c r="M41" i="1"/>
  <c r="O41" i="1"/>
  <c r="M67" i="1"/>
  <c r="O67" i="1"/>
  <c r="M58" i="1"/>
  <c r="O58" i="1"/>
  <c r="M40" i="1"/>
  <c r="M77" i="1"/>
  <c r="O77" i="1"/>
  <c r="M62" i="1"/>
  <c r="O62" i="1"/>
  <c r="M42" i="1"/>
  <c r="O42" i="1"/>
  <c r="M28" i="1"/>
  <c r="M76" i="1"/>
  <c r="O76" i="1"/>
  <c r="M65" i="1"/>
  <c r="O65" i="1"/>
  <c r="O15" i="1"/>
  <c r="M56" i="1"/>
  <c r="O56" i="1"/>
  <c r="K142" i="1"/>
  <c r="K150" i="1"/>
  <c r="K151" i="1"/>
  <c r="E150" i="1"/>
  <c r="E151" i="1"/>
  <c r="M66" i="1"/>
  <c r="O66" i="1"/>
  <c r="O64" i="1"/>
  <c r="F142" i="1"/>
  <c r="F150" i="1"/>
  <c r="F151" i="1"/>
  <c r="I33" i="1"/>
  <c r="O40" i="1"/>
  <c r="M39" i="1"/>
  <c r="I32" i="1"/>
  <c r="M142" i="1"/>
  <c r="M33" i="1"/>
  <c r="M32" i="1"/>
  <c r="M150" i="1"/>
  <c r="M151" i="1"/>
  <c r="O39" i="1"/>
  <c r="O32" i="1"/>
  <c r="I142" i="1"/>
  <c r="O142" i="1"/>
  <c r="O33" i="1"/>
  <c r="I150" i="1"/>
  <c r="I151" i="1"/>
  <c r="O151" i="1"/>
  <c r="O150" i="1"/>
</calcChain>
</file>

<file path=xl/comments1.xml><?xml version="1.0" encoding="utf-8"?>
<comments xmlns="http://schemas.openxmlformats.org/spreadsheetml/2006/main">
  <authors>
    <author>Татьяна А. Куграшова</author>
  </authors>
  <commentList>
    <comment ref="D9" authorId="0" shapeId="0">
      <text>
        <r>
          <rPr>
            <b/>
            <sz val="9"/>
            <color indexed="81"/>
            <rFont val="Tahoma"/>
            <family val="2"/>
            <charset val="204"/>
          </rPr>
          <t>Реквизиты НПА, которым утверждены тарифы в отношении оператора по обращению с ТКО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  <charset val="204"/>
          </rPr>
          <t>Реквизиты НПА, которым утверждены тарифы в отношении оператора по обращению с ТКО</t>
        </r>
      </text>
    </comment>
  </commentList>
</comments>
</file>

<file path=xl/sharedStrings.xml><?xml version="1.0" encoding="utf-8"?>
<sst xmlns="http://schemas.openxmlformats.org/spreadsheetml/2006/main" count="466" uniqueCount="267">
  <si>
    <t>Расчет тарифа методом индексации (корректировка) на</t>
  </si>
  <si>
    <t>захоронение твердых коммунальных отходов (ТКО)</t>
  </si>
  <si>
    <t>на 2025 год</t>
  </si>
  <si>
    <t>ООО "Вариант Плюс</t>
  </si>
  <si>
    <t>№ п/п</t>
  </si>
  <si>
    <t>Наименование показателя</t>
  </si>
  <si>
    <t>Единица
измерений</t>
  </si>
  <si>
    <t>Представлено оператором по обращению с ТКО в качестве обоснования фактических расходов (указать данные бухгалтерской отчетности, первичной документации)</t>
  </si>
  <si>
    <t>Обоснование причин и ссылки на правовые нормы, на основании которых органом регулирования проведен расчет фактического объема (массы) ТКО, а также принято решение об исключении из расчета тарифов экономически не обоснованных фактических расходов, учтенных регулируемой организацией в предложении об установлении тарифов</t>
  </si>
  <si>
    <t>Заявлено оператором по обращению с ТКО</t>
  </si>
  <si>
    <t>Представлено оператором по обращению с ТКО в качестве обоснования</t>
  </si>
  <si>
    <t>Учтено органом регулирования</t>
  </si>
  <si>
    <t>Обоснование причин и ссылки на правовые нормы, на основании которых органом регулирования проведен расчет объема (массы) ТКО, а также принято решение об исключении из расчета тарифов экономически не обоснованных расходов, учтенных регулируемой организацией в предложении об установлении тарифов</t>
  </si>
  <si>
    <t>Рост по отношению к базовому периоду, %</t>
  </si>
  <si>
    <t>Принято органом регулирования</t>
  </si>
  <si>
    <t>Факт по данным организации</t>
  </si>
  <si>
    <t>Факт, принятый органом регулирования</t>
  </si>
  <si>
    <t>план</t>
  </si>
  <si>
    <t>ожид</t>
  </si>
  <si>
    <t>Расчет объема (массы) твердых коммунальных отходов:</t>
  </si>
  <si>
    <t>1.</t>
  </si>
  <si>
    <t>Средняя плотность твердых коммунальных отходов</t>
  </si>
  <si>
    <t>тонн/куб. м</t>
  </si>
  <si>
    <t>2.</t>
  </si>
  <si>
    <t>Расчетный объем (масса) твердых коммунальных отходов:</t>
  </si>
  <si>
    <t>куб. м</t>
  </si>
  <si>
    <t>Статистическая форма 2-ТП (отходы) за 2023 .,акты размещения ТКО за период  январь-декабрь 2023 г. ,счета на оплату услуг (покупатель ООО " РТ НЭО Иркутск), акт сверки взаимных расчетов по состоянию на 31.12.2023 г.</t>
  </si>
  <si>
    <t>Статистические формы 2-ТП (отходы) за 2021-2023 г.г.,акты размещения ТКО за период  январь-декабрь 2023 г. , январь-июнь 2024 г., счета на оплату услуг (покупатель ООО " РТ НЭО Иркутск) за 2023 год, акт сверки взаимных расчетов по состоянию на 31.12.2021г. на 31.12.2022 г.,31.12.2023 г.</t>
  </si>
  <si>
    <t>В соответствии с пунктом 14 Методических указаний расчетный объем и (или) масса твердых коммунальных отходов (далее - ТКО) на очередной период регулирования (каждый год в течение долгосрочного периода регулирования) определяется в соответствии с Приложениями 2, 3 к Методическим указаниям на основании данных о фактическом объеме и (или) массе ТКО за последний отчетный год и данных о динамике образования ТКО за последние 3 года при наличии соответствующих подтверждающих документов, а в случае отсутствия подтверждающих документов - исходя из данных территориальной схемы или, при ее отсутствии, исходя из нормативов накопления твердых коммунальных отходов и заключенных регулируемой организацией договоров на оказание услуг.  Регулирующим органом к расчету тарифа  масса ТКО принята согласно  массе ТКО за последний отчетный год и данных о динамике образования ТКО за последние 3 года .</t>
  </si>
  <si>
    <t>тонн</t>
  </si>
  <si>
    <t>Проверка (p=m/V)</t>
  </si>
  <si>
    <t>2.1.</t>
  </si>
  <si>
    <t>в пределах норматива по накоплению</t>
  </si>
  <si>
    <t>2.2.</t>
  </si>
  <si>
    <t>сверх норматива по накоплению</t>
  </si>
  <si>
    <t>3.</t>
  </si>
  <si>
    <t>По видам твердых коммунальных отходов:</t>
  </si>
  <si>
    <t>3.1.</t>
  </si>
  <si>
    <t>сортированные</t>
  </si>
  <si>
    <t>3.2.</t>
  </si>
  <si>
    <t>несортированные</t>
  </si>
  <si>
    <t>3.3.</t>
  </si>
  <si>
    <t>крупногабаритные отходы</t>
  </si>
  <si>
    <t>Проверка (п.3 = п.2)</t>
  </si>
  <si>
    <t>4.</t>
  </si>
  <si>
    <t>Темп изменения образования твердых коммунальных отходов</t>
  </si>
  <si>
    <t>%</t>
  </si>
  <si>
    <t>Расчет необходимой валовой выручки:</t>
  </si>
  <si>
    <t>Является плательщиком НДС (да/нет)</t>
  </si>
  <si>
    <t>Нет</t>
  </si>
  <si>
    <t>Текущие расходы</t>
  </si>
  <si>
    <t>тыс. руб.</t>
  </si>
  <si>
    <t>По нижеприведенным основаниям</t>
  </si>
  <si>
    <t>По нижеприведенным основаниям.</t>
  </si>
  <si>
    <t>1.1.</t>
  </si>
  <si>
    <t>Операционные (подконтрольные) расходы</t>
  </si>
  <si>
    <t>Определены в соответствии с п. 47 Основ ценообразования, п. 30 и п. 45 Методических указаний путем индексации установленного базового уровня операционных расходов.</t>
  </si>
  <si>
    <t>Параметры расчета:</t>
  </si>
  <si>
    <t>индекс эффективности операционных расходов</t>
  </si>
  <si>
    <t>Долгосрочный параметр регулирования в соответствии с п. 56 Основ ценообразования.</t>
  </si>
  <si>
    <t>индекс потребительских цен</t>
  </si>
  <si>
    <t>Согласно базовому варианту Прогноза социально-экономического развития РФ на 2025 год и на плановый период 2026 и 2027 годов, разработанному Минэкономразвития России в сентябре 2024 года (далее - Прогноз).</t>
  </si>
  <si>
    <t>ИЦП (обеспечение электрической энергией, газом и паром; кондиционирование воздуха)</t>
  </si>
  <si>
    <t>размер страховых взносов</t>
  </si>
  <si>
    <t>1.1.1.</t>
  </si>
  <si>
    <t>Производственные расходы</t>
  </si>
  <si>
    <t>1.1.1.1.</t>
  </si>
  <si>
    <t>Расходы на приобретение сырья и материалов и их хранение:</t>
  </si>
  <si>
    <t>-</t>
  </si>
  <si>
    <t>сырье и материалы</t>
  </si>
  <si>
    <t xml:space="preserve">Приняты с учетом ИПЦ в соответствии с п. 47 Основ ценообразования, п. 30 и п. 45 Методических указаний </t>
  </si>
  <si>
    <t>горюче-смазочные материалы</t>
  </si>
  <si>
    <t>Договор на реализацию ГСМ через АЗС по заборной ведомости от 09.01.2013 г.№ Р-2(пролонгирован) с ООО "Витимская энергетическая компания", заборные ведомости ,счета на оплату ГСМ за 2023 год, оборотно-сальдовая ведомость по счету 20, карточка счета 10</t>
  </si>
  <si>
    <t>материалы и малоценные основные средства</t>
  </si>
  <si>
    <t xml:space="preserve">Счет № УТ-21 от 03.01.2023, реализация товаров № УТ-97 от 03.01.2023, счет № УТ-379 от 14.02.2023, счет-фактура № УТ-404 от 14.02.2023, счет № УТ-634 от 10.03.2023,    счет-фактура № УТ-687 от 10.03.2023, счет № УТ-932 от 03.04.2023, счет-фактура № УТ-1025 от 03.04.2023, счет № УТ-1036 от 13.04.2023, счет-фактура № УТ-1146 от 13.04.2023, счет № УТ-1389 от 10.05.2023, реализация товаров № УТ-1990 от 10.05.2023,    счет № УТ-2396 от 12.07.2023, счет № УТ-2797 от 20.07.2023, счет-фактура № УТ-3077 от 20.07.2023, счет № УТ-2593 от 21.07.2023, реализация товаров № УТ-3466 от 21.07.2023, счет № УТ-3179 от 20.08.2023, счет-фактура № УТ-3551 от 20.08.2023, счет № УТ-3615 от 12.09.2023, счет-фактура № УТ-4042 от 12.09.2023,    счет № УТ-3883 от 29.09.2023, счет-фактура № УТ-4329 от 29.09.2023, счет № УТ-4222 от 25.10.2023, счет № УТ-4879 от 06.12.2023, счет № УТ-5114 от 24.12.2023,    счет № УТ-5173 от 25.12.2023 (ИП Ганин Р.К.), оборотно сальдовая ведомость счеов 20,60, карточка счета 10 </t>
  </si>
  <si>
    <t>1.1.1.2.</t>
  </si>
  <si>
    <t>Расходы на оплату выполняемых сторонними организациями или индивидуальными предпринимателями работ и (или) услуг, связанных с эксплуатацией объектов, используемых для обработки, обезвреживания, захоронения твердых коммунальных отходов</t>
  </si>
  <si>
    <t>Договор на проведение лабораторных исследований от 16.01.23 г №1120/2023 "ЛИН СО РАН"счет от 02.02.2023 г. №0000-000007, договор от 21.03.2023 г. №007/АУП/23 на проведение проб атмосферного воздуха, счет №00000039 от 22.03.23,счет №0000-000081 от 29.06.23,счет №0000-000180 от 23.11.23 , договор от 23.03.2022 г. №ОМ-313 ФГБУ "Федеральный центр охраны здоровья животных" (пробы воды) счет № 134772 от 26.07.2023, акт № ФБ4070 от 11.08.2023, счет № 153920 от 18.08.2023, счет № 200180 от 10.10.2023, счет № 213505 от 25.10.2023 г.  договор на оказание услуг бульдозера  с машинистом  № 1 от 09.01.2023 г.,счет №22 от 28.02.2023 г.,договор№2 от 01.03.2023 г.,счет,акт  №23 от 30.04.2023 г., договор №3 от 01.05.2023,счет, акт №24 от 30.06.2023, договор №4 от 01.07.2023 г.,счет, акт №25 от 30.08.2023,договор №5 от 01.09.2023 г,счет, акт № 26 от 31.10.2023 г.,договор №6 от 01.11.2023 ,счет акт №27 от 31.12.2023 г.  договор на очистку минерализованной полосы  № 12 от 01.08.2022 г.,  счет на  оплату от 31.01.2023 г. №15, договор № 5  от 10.07.2023 г. ,счет на оплату №40 от 20.07.2023 г., договор на очистку водоотводной канавы от 01.08.2023 г. №7, счет от 15.09.2023 г. №39 , счет на оплату услуг по калибровке и поверке весов от 02.02.2023 г. № 473, счета,акты  № 972 от 09.01.2023 г .№1664  от 31.10.2023 г. (доставка бульдозера), оборотно садьдовые ведомости счета,20,26,60</t>
  </si>
  <si>
    <t>1.1.1.3.</t>
  </si>
  <si>
    <t>Расходы на оплату труда и страховые взносы производственного персонала,
в том числе:</t>
  </si>
  <si>
    <t>Оборотно сальдовые ведомости по счету 20 за 2023 год, карточки счета 20,70 за 2023 год, анализ з/пза 2023 год  по  должностям</t>
  </si>
  <si>
    <t>1.1.1.3.1.</t>
  </si>
  <si>
    <t>Фонд оплаты труда основного производственного персонала</t>
  </si>
  <si>
    <t>Среднемесячная оплата труда основного производственного персонала</t>
  </si>
  <si>
    <t>руб./мес.</t>
  </si>
  <si>
    <t>Численность (среднесписочная) основного производственного персонала, принятая для расчета</t>
  </si>
  <si>
    <t>ед.</t>
  </si>
  <si>
    <t>1.1.1.3.2.</t>
  </si>
  <si>
    <t>Страховые взносы от оплаты труда основного производственного персонала</t>
  </si>
  <si>
    <t>1.1.1.3.3.</t>
  </si>
  <si>
    <t>Фонд оплаты труда цехового персонала</t>
  </si>
  <si>
    <t>Среднемесячная оплата труда цехового персонала</t>
  </si>
  <si>
    <t>Численность (среднесписочная) цехового персонала, принятая для расчета</t>
  </si>
  <si>
    <t>1.1.1.3.4.</t>
  </si>
  <si>
    <t>Страховые взносы от оплаты труда цехового персонала</t>
  </si>
  <si>
    <t>1.1.1.4.</t>
  </si>
  <si>
    <t>Общехозяйственные расходы</t>
  </si>
  <si>
    <t>1.1.1.5.</t>
  </si>
  <si>
    <t>Прочие производственные расходы, непосредственно связанные с эксплуатацией объектов, используемых для обработки, обезвреживания, захоронения твердых коммунальных отходов</t>
  </si>
  <si>
    <t>1.1.2.</t>
  </si>
  <si>
    <t>Ремонтные расходы:</t>
  </si>
  <si>
    <t>1.1.2.1.</t>
  </si>
  <si>
    <t>Расходы на текущий ремонт объектов, используемых для обработки, обезвреживания, захоронения твердых коммунальных отходов</t>
  </si>
  <si>
    <t>1.1.2.2.</t>
  </si>
  <si>
    <t>Расходы на капитальный ремонт объектов, используемых для обработки, обезвреживания, захоронения твердых коммунальных отходов</t>
  </si>
  <si>
    <t>Договор №1 на проведение работ по ремонту забора (100м) от 01.06.2023 г. на сумму 772,589 т.руб., счет на оплату от 30.06.2023 г.№44, договор №7 на проведение работ по ремонту забора от 01.08.2022 г. на сумму 445,155 т.рутб, счет на оплату от 31.01.2023 г. №13</t>
  </si>
  <si>
    <t>1.1.2.3.</t>
  </si>
  <si>
    <t>Расходы на оплату труда и отчисления на социальные нужды ремонтного персонала</t>
  </si>
  <si>
    <t>Среднемесячная оплата труда ремонтного персонала</t>
  </si>
  <si>
    <t>Численность (среднесписочная) ремонтного персонала, принятая для расчета</t>
  </si>
  <si>
    <t>1.1.2.4.</t>
  </si>
  <si>
    <t>Страховые взносы от оплаты труда ремонтного персонала</t>
  </si>
  <si>
    <t>1.1.3.</t>
  </si>
  <si>
    <t>Административные расходы:</t>
  </si>
  <si>
    <t>1.1.3.1.</t>
  </si>
  <si>
    <t>Фонд оплаты труда административного персонала</t>
  </si>
  <si>
    <t>Оборотно сальдовые ведомости по счету 26 за 2023 год, карточки счета 26,70 за 2023 год, анализ з/п по должностям</t>
  </si>
  <si>
    <t>Среднемесячная оплата труда административного персонала</t>
  </si>
  <si>
    <t>Численность (среднесписочная) административного персонала, относимая на регулируемый вид деятельности</t>
  </si>
  <si>
    <t>1.1.3.2.</t>
  </si>
  <si>
    <t>Страховые взносы от оплаты труда административного персонала</t>
  </si>
  <si>
    <t>1.1.3.3.</t>
  </si>
  <si>
    <t>Расходы на оплату товаров, работ и (или) услуг, поставляемых и (или) выполняемых по договорам сторонними организациями или индивидуальными предпринимателями:</t>
  </si>
  <si>
    <t>услуги связи и интернет</t>
  </si>
  <si>
    <t>Счета на оплату услуг связи и интернета ООО "Витим-Телеком" за период январь-декабрь 2023г. В соответствии с договором от 31.01.2023 г № 2703734-22,ПАО "Ростелеком" за период январь-декабрь 2023 г. в соответствии с договором от  10.10.2005 г. №638000027997, оборотно садльдовая ведомсть по счету 20,26 за 2023 год.</t>
  </si>
  <si>
    <t>юридические услуги</t>
  </si>
  <si>
    <t xml:space="preserve">Договор об оказании юридических услуг по сопровождению деятельности клиента ООО Центр правовых решений" Легалайт"от 12.09.2023 г. №б/н </t>
  </si>
  <si>
    <t>аудиторские услуги</t>
  </si>
  <si>
    <t>консультационные услуги</t>
  </si>
  <si>
    <t>услуги вневедомственной охраны</t>
  </si>
  <si>
    <t>информационные услуги</t>
  </si>
  <si>
    <t>другие</t>
  </si>
  <si>
    <t>Счет-оферта от 15.03.2023 г право использования и сопровождение "КонтурЭкстерн", счет -оферта от 21.06.2023 №23932459826  право использования   "КонтурДиадок", счет на оплату №1629 от 19.08.2023 г.на перевозку грузов за 2023 год ООО "ГК "Авиа-Бизнес", договор оказания услуг ООО "Инвест Аудит" б/н от 08.02.2023 г на оказание услуг по корректировке тарифов на захоронение ТКО, счет от 08.02.2023 г. №145, счет от 03.05.2023 г. №34,счет от 02.08.2023 №61,счет от 21.12.2023 г №101 на выполнение работ по заполнению шаблонов ЕИАС</t>
  </si>
  <si>
    <t>1.1.3.4.</t>
  </si>
  <si>
    <t>Арендная плата, лизинговые платежи, не связанные с арендой (лизингом) объектов, используемых для обработки, обезвреживания, захоронения твердых коммунальных отходов</t>
  </si>
  <si>
    <t>Счета на оплату услуг по аренде нежилого помещения № 22 от 31.01.23,№157 от 28.02.23,№296 от 31.03.23,№471 от 30.04.23,№643 от 31.05.23,№807 от 30.06.23,№998 от 31.07.23,№1175 от 31.08.23№1344 от 30.09.23,№1511 от 31.10.23,№1701 от 30.11.23,№2016 от 31.12.23, оборотно сальдовая ведомость по счету 60 за 2023 год</t>
  </si>
  <si>
    <t>1.1.3.5.</t>
  </si>
  <si>
    <t>Служебные командировки</t>
  </si>
  <si>
    <t>1.1.3.6.</t>
  </si>
  <si>
    <t>Обучение персонала</t>
  </si>
  <si>
    <t>1.1.3.7.</t>
  </si>
  <si>
    <t>Расходы на обязательное страхование производственных объектов в случаях, предусмотренных законодательством РФ, страхование ответственности концессионера, частного партнера, в случаях, предусмотренных соответствующими соглашениями, а также расходов на страхование рисков гибели объектов, создаваемых по таким соглашениям</t>
  </si>
  <si>
    <t>1.1.3.8.</t>
  </si>
  <si>
    <t>Расходы на амортизацию непроизводственных активов</t>
  </si>
  <si>
    <t>1.1.3.9.</t>
  </si>
  <si>
    <t>Прочие административные расходы</t>
  </si>
  <si>
    <t>Авансовый отчет№0000-000010 от 07.04.2023 г, №0000-000015 от 01.06.23 г., оборотно сальдовая ведомость счета 26 за 2023 год расходы на проезд к месту проведения отпуска и обратно.</t>
  </si>
  <si>
    <t>1.2.</t>
  </si>
  <si>
    <t>Неподконтрольные расходы</t>
  </si>
  <si>
    <t>1.2.1.</t>
  </si>
  <si>
    <t>Расходы на оплату товаров, работ и услуг других операторов по обращению с твердыми коммунальными отходами</t>
  </si>
  <si>
    <t>1.2.2.</t>
  </si>
  <si>
    <t>Расходы на уплату налогов, сборов и других обязательных платежей:</t>
  </si>
  <si>
    <t>1.2.2.1.</t>
  </si>
  <si>
    <t>Налог на прибыль</t>
  </si>
  <si>
    <t>1.2.2.2.</t>
  </si>
  <si>
    <t>Налог на имущество организаций</t>
  </si>
  <si>
    <t>1.2.2.3.</t>
  </si>
  <si>
    <t>Земельный налог и арендная плата за землю</t>
  </si>
  <si>
    <t xml:space="preserve">Договор аренды </t>
  </si>
  <si>
    <t xml:space="preserve"> В соответствии с договором аренды  от 26.03.2007 г. №800 (с дополнительным соглашением от 25.11.24 г.). Расчет произведен исходя из кадастровой стоимости земельного участка и процентной ставки 1,5%</t>
  </si>
  <si>
    <t>1.2.2.4.</t>
  </si>
  <si>
    <t>Транспортный налог</t>
  </si>
  <si>
    <t>1.2.2.5.</t>
  </si>
  <si>
    <t>Единый налог, уплачиваемый организацией, применяющей упрощенную систему налогообложения</t>
  </si>
  <si>
    <t>Налоговая декларация по налогу, уплачиваемому в связи с применением упрощенной системы налогобложения за 2023 год</t>
  </si>
  <si>
    <t xml:space="preserve">Расчитан регулирующим органом исходя из налоговой ставки 6% (п. 2 ст. 346.210 НК РФ) и уменьшение по оплате налога в размере начисленных взносов ЕСН не более 50% налога (п. 1 ст. 346.17 НК РФ), согласно учетной политике объект налогооблажения "Доходы" (ст. 346.12 НК РФ) </t>
  </si>
  <si>
    <t>1.2.2.6.</t>
  </si>
  <si>
    <t>Прочие налоги и сборы</t>
  </si>
  <si>
    <t>1.2.2.7.</t>
  </si>
  <si>
    <t>Расходы на обязательное страхование, предусмотренные законодательными актами РФ</t>
  </si>
  <si>
    <t>1.2.3.</t>
  </si>
  <si>
    <t>Расходы на арендную плату, концессионную плату и лизинговые платежи в отношении объектов, используемых для обработки, обезвреживания, захоронения твердых коммунальных отходов</t>
  </si>
  <si>
    <t>1.2.4.</t>
  </si>
  <si>
    <t>Сбытовые расходы</t>
  </si>
  <si>
    <t>1.2.6.</t>
  </si>
  <si>
    <t>Расходы на компенсацию экономически обоснованных расходов, не учтенных органом регулирования тарифов при установлении тарифов в прошлые периоды регулирования, и (или) недополученных доходов</t>
  </si>
  <si>
    <t xml:space="preserve">Расчет недополученных доходов  за 2023 год в связи со снижением массы ТКО, форма 2-тп, акт сверки взаимных рачетов с ООО "РТ НЭО", бухгалтерские документы ( оборотно-сальдовая ведомость по  счету 90 за 2023 год). (7 503тн -5 177,3тн)*2 981,79=6 934,8 тыс.руб. Договор по орнитологическому исследованию ФГБУ "ВНИИ Экология" от 29.11.2023 г. № 2023-106/П,счет от 29.11.2023 г. №0000-000484, счет от 24.06.2024 г. №0000-0001191 Сумма расходов составила 777,4 т.руб,. договор ООО ЦЭГОИУРЗН" №11-2023 г. от 14.06.2023 г. на разработку раздела "Оценка риска здоровью населения" санитарно- защитной зоны для Полигона ТБО,.акт №18 от 27.07.2023 г. Расходы составили -190,5 тыс.руб. Оборотно сальдовая ведомость счета 20,60 </t>
  </si>
  <si>
    <t xml:space="preserve">На основании проведенного анализа  экономической обоснованности фактических расходов за 2023 год в соответствии с представленными материалами, бухгалтерской и статистической отчетностью, приняты к расчету   недополученные доходы  за 2023 год в связи со снижением массы ТКО, форма 2-тп, акт сверки взаимных рачетов с ООО "РТ НЭО", бухгалтерские документы ( оборотно-сальдовая ведомость по  счету 90 за 2023 год). (7 503тн -5 177,3тн)*2 981,79=6 934,8 тыс.руб. </t>
  </si>
  <si>
    <t>1.2.7.</t>
  </si>
  <si>
    <t>Расходы на выплаты по договорам займа и кредитным договорам, включая возврат сумм основного долга и процентов по ним</t>
  </si>
  <si>
    <t>1.2.8.</t>
  </si>
  <si>
    <t>Расходы на плату за негативное воздействие на окружающую среду при размещении твердых коммунальных отходов</t>
  </si>
  <si>
    <t>Декларация о плате за негативное воздействие на окружающую среду за 2023 год</t>
  </si>
  <si>
    <t>1.3.</t>
  </si>
  <si>
    <t>Расходы на приобретение (производство) энергетических ресурсов</t>
  </si>
  <si>
    <t>1.3.1.</t>
  </si>
  <si>
    <t>Расходы на покупку электрической энергии:</t>
  </si>
  <si>
    <t>Объем покупной энергии:</t>
  </si>
  <si>
    <t>тыс. кВт-ч</t>
  </si>
  <si>
    <t>НН</t>
  </si>
  <si>
    <t>СН1</t>
  </si>
  <si>
    <t>СН2</t>
  </si>
  <si>
    <t>ВН</t>
  </si>
  <si>
    <t>ГН</t>
  </si>
  <si>
    <t>Тариф на электрическую энергию:</t>
  </si>
  <si>
    <t>руб./ кВт-ч</t>
  </si>
  <si>
    <t>1.3.2.</t>
  </si>
  <si>
    <t>Расходы на покупку электрической мощности:</t>
  </si>
  <si>
    <t>Мощность:</t>
  </si>
  <si>
    <t>МВт</t>
  </si>
  <si>
    <t>Ставка за мощность:</t>
  </si>
  <si>
    <t>руб./ МВт</t>
  </si>
  <si>
    <t>1.3.3.</t>
  </si>
  <si>
    <t>Расходы на тепловую энергию:</t>
  </si>
  <si>
    <t>объем тепловой энергии</t>
  </si>
  <si>
    <t>тыс. Гкал</t>
  </si>
  <si>
    <t>тариф на тепловую энергию</t>
  </si>
  <si>
    <t>руб./Гкал</t>
  </si>
  <si>
    <t>1.3.4.</t>
  </si>
  <si>
    <t>Расходы на горячую воду:</t>
  </si>
  <si>
    <t>объем горячей воды</t>
  </si>
  <si>
    <t>тыс. куб.м</t>
  </si>
  <si>
    <t>тариф на горячую воду</t>
  </si>
  <si>
    <t>руб./куб. м</t>
  </si>
  <si>
    <t>1.3.5.</t>
  </si>
  <si>
    <t>Расходы на холодную воду:</t>
  </si>
  <si>
    <t>объем покупной воды</t>
  </si>
  <si>
    <t>тариф на воду</t>
  </si>
  <si>
    <t>1.3.6.</t>
  </si>
  <si>
    <t>Расходы на водоотведение:</t>
  </si>
  <si>
    <t>объем услуги водоотведение</t>
  </si>
  <si>
    <t>тариф на водоотведение</t>
  </si>
  <si>
    <t>1.3.7.</t>
  </si>
  <si>
    <t>Расходы на природный газ</t>
  </si>
  <si>
    <t>1.3.8.</t>
  </si>
  <si>
    <t>Расходы на иные виды топлива</t>
  </si>
  <si>
    <t xml:space="preserve">Расходы на амортизацию основных средств и нематериальных активов
</t>
  </si>
  <si>
    <t xml:space="preserve">Инвентарные карточки учета основных средств, оборотно-сальдовая ведомость  по счету 02 за 2023 год, </t>
  </si>
  <si>
    <t>Оборотно сальдовая ведомость счета 02 за 2023 год и первое полугодие 2024 г.</t>
  </si>
  <si>
    <t>Согласно п. 34 Основ ценообразования сумма амортизации определена исходя из срока полезного использования активов и отнесение этих активов к соответсвующей амортизационной группе, установлеными Классификацией основных средств, включаемых в амортизационные группы, утвержденной постановлением Правительства РФ от 01.01.2002г. № 1. Расходы  приняты в соответствии с оборотно сальдовой ведомостьюсчета 02 и инвентарными карточками фактически принятых к бухучету основных средств, максимального срока  по соответствующей амортизационной группе согласно  Классификации.</t>
  </si>
  <si>
    <t>Нормативная прибыль</t>
  </si>
  <si>
    <t>Расходы на капитальные вложения (инвестиции), определяемые в соответствии с утвержденными инвестиционными программами</t>
  </si>
  <si>
    <t>Средства на возврат займов и кредитов, привлекаемых на реализацию мероприятий инвестиционной программы, в размере, определяемом исходя из срока их возврата, предусмотренного договорами займа и кредитными договорами, а также проценты по таким займам и кредитам</t>
  </si>
  <si>
    <t>Расходы на выплаты, предусмотренные коллективными договорами, не учитываемые при определении налоговой базы налога на прибыль (расходы, относимые на прибыль после налогообложения)</t>
  </si>
  <si>
    <t>Расчетная предпринимательская прибыль</t>
  </si>
  <si>
    <t>Расчет в соответствии п.25  Методических указаний № 1638/16</t>
  </si>
  <si>
    <t xml:space="preserve">Принята в размере 5% от текущих расходов (п. 25 Методических указаний № 1638/16) </t>
  </si>
  <si>
    <t>5.</t>
  </si>
  <si>
    <t>Результаты деятельности до перехода к регулированию цен (тарифов) на основе долгосрочных параметров регулирования (при установлении тарифов на 1 и 2 годы первого долгосрочного периода регулирования)</t>
  </si>
  <si>
    <t>6.</t>
  </si>
  <si>
    <t>Величина изменения необходимой валовой выручки, производимого в целях сглаживания тарифов</t>
  </si>
  <si>
    <t>7.</t>
  </si>
  <si>
    <t>Корректировка с целью учета отклонения фактических значений параметров расчета тарифов от значений, учтенных при установлении тарифов (начиная с 3-го года первого долгосрочного периода регулирования), определяемая в соответствии с п. 48 Методических указаний</t>
  </si>
  <si>
    <t>Расчет размера корректировки в соответствии с п. 48 Методических указаний</t>
  </si>
  <si>
    <t>8.</t>
  </si>
  <si>
    <t>Корректировка НВВ с учетом отклонения показателя ввода и вывода объектов, используемых для обработки, обезвреживания, захоронения твердых коммунальных отходов, и изменения утвержденной в установленном порядке инвестиционной программы, определяемая в соответствии с п. 49 Методических указаний</t>
  </si>
  <si>
    <t>9.</t>
  </si>
  <si>
    <t>Корректировка НВВ с учетом степени исполнения регулируемой организацией обязательств по созданию и (или) реконструкции объектов, определяемая в соответствии с п. 50 Методических указаний</t>
  </si>
  <si>
    <t>10.</t>
  </si>
  <si>
    <t>Корректировка ФОТ основного производственного персонала с учетом доведения заработной платы до МРОТ , с учетом ЕСН</t>
  </si>
  <si>
    <t>В соответствии с федеральным законом от 22.10.2024 г. №365-ФЗ минимальный размер оплаты труда установлен на уровне  22 440 руб., с учетом районного коэффициента и северной надбавки составит 49 368 руб. Средняя заработная плата производственных рабочих  в  составе НВВ - 41 471,5 руб.  Размер доплаты до минимального размера оплаты труда (49 368-41471,5)*4,5*12=426,4 тыс. руб+ ЕСН -87,8тыс.руб.</t>
  </si>
  <si>
    <t>11.</t>
  </si>
  <si>
    <t xml:space="preserve">Корректировка НВВ на основании предписания прокуратуры г.Бодайбо от 14.08.2024 г. 37-34-2024/Прдп 250-24-20250003 об устранении нарушений федерального законодательства о тарифном регулировании деятельности по обращению с твердыми коммунальными отходами  </t>
  </si>
  <si>
    <t>В соответствии с пунктом 12 Основ ценообразования при установлении тарифов из необходимой валовой выручки исключены  экономически не обоснованные доходы прошлых периодов регулирования, включая доходы, полученные с нарушением требований законодательства Российской Федерации при установлении и применении регулируемых тарифов, в том числе выявленные при осуществлении государственного контроля (надзор) за период 2023-2024 г.г.</t>
  </si>
  <si>
    <t>По вышеприведенным основаниям.</t>
  </si>
  <si>
    <t>12.</t>
  </si>
  <si>
    <t>руб./тонну</t>
  </si>
  <si>
    <t>Определен исходя из заявленной необходимой валовой выручки и массы твердых коммунальных отходов.</t>
  </si>
  <si>
    <t>Определен исходя из принятой необходимой валовой выручки и массы твердых коммунальных отходов.</t>
  </si>
  <si>
    <t>Ответственный за подготовку экспертного заключения</t>
  </si>
  <si>
    <t xml:space="preserve">Корректировка с целью учета отклонения фактических значений параметров расчета тарифов от значений, учтенных при установлении тарифов на 2023 год, определена в соответствии с п. 48 Методических указаний исходя из базового уровня операционных расходов принятых при расчете тарифа на 2022-2026 г.г.  в размере - 12 752 т.руб.  фактического уровня ИПЦ за 2023 год- 105,9 % , и объема поступающих ТКО  6 766 тн.,5 177,3 тн. соответственно неподконтрольных фактических расходов в сумме 951,8  т.руб., фактических расходов на амортизацию ОС- 519,79 т. руб., расчетной предпринимательской прибыли в размере 853,7 тыс.руб. и  товарной выручки за 2023 г.   15 529,62 т.руб. </t>
  </si>
  <si>
    <t>Севастьянова С.С.</t>
  </si>
  <si>
    <t xml:space="preserve">Расходы учтены исходя из ставок платы за негативное воздействие на окружающую среду при размещении ТКО Постановление Правительства РФ от 17.04.2024 N 492 (ред. от 24.09.2024) "О применении в 2024 и 2025 годах ставок платы за негативное воздействие на окружающую среду" </t>
  </si>
  <si>
    <t>Расчет по налогу, уплачиваемому в связи с применением упрощенной системы налогобложения за 2025 год</t>
  </si>
  <si>
    <r>
      <t xml:space="preserve">Договор №22 от 01.10.2022 г., на разработку  проекта санитарно-защитной зоны, счет на оплату услуг по разработке и согласованию проекта СЗЗ от 13.10.2023 г. № 30, оборотно сальдовая ведомость по счету 60 за 2023 год. 2. Договор № 2 на проведение работ по очистке наблюдательной скважины №1 от 01.07.2023 г., локальный сметный расчет, Счет на оплату от 20.07.2023 г. № 41, договор №3  на проведение работ по очистке наблюдательной скважины №2 от 01.07.2023 г. , счет на оплату от 20.07.2023 г.№ 42, договор от 01.07.2023 г. № 3 на очистку наблюдательной скважины №3  , счет на оплату от 20.07.2023 г № 43.  3. 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Счета  на оплату услуг  по доставке рабочих:от 31.03.2023 г. №297, счет от 30.06.2023 г.№ 808, счет от 09.01.2024 г.  , счет № 14 от 31.12.23,№8 от 30.06.2023 г на подвоз воды. договору по орнитологическому исследованию ФГБУ "ВНИИ Экология" от 29.11.2023 г. № 2023-106/П,счет от 29.11.2023 г. №0000-000484, счет от 24.06.2024 г. №0000-0001191, на сумму 777,4 тыс.руб. договор ООО ЦЭГОИУРЗН" №11-2023 г. от 14.06.2023 г. на разработку раздела "Оценка риска здоровью населения" санитарно- защитной зоны для Полигона ТБО, акт №18 от 27.07.2023 г. на сумму 190,5 тыс.руб. оборотно сальдовая ведомость счета 20,60.</t>
    </r>
  </si>
  <si>
    <t>Приложение к протоколу комисссии от 06.12.2025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</si>
</sst>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%"/>
    <numFmt numFmtId="165" formatCode="_-* #,##0.00_р_._-;\-* #,##0.00_р_._-;_-* &quot;-&quot;??_р_._-;_-@_-"/>
    <numFmt numFmtId="166" formatCode="#,##0.0_ ;\-#,##0.0\ "/>
    <numFmt numFmtId="167" formatCode="0.0"/>
    <numFmt numFmtId="168" formatCode="#,##0.00_ ;\-#,##0.00\ 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wrapText="1"/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vertical="center" wrapText="1"/>
      <protection locked="0"/>
    </xf>
    <xf numFmtId="0" fontId="4" fillId="0" borderId="5" xfId="0" applyFont="1" applyFill="1" applyBorder="1" applyAlignment="1" applyProtection="1">
      <alignment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vertical="center"/>
      <protection locked="0"/>
    </xf>
    <xf numFmtId="164" fontId="2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/>
    </xf>
    <xf numFmtId="166" fontId="2" fillId="0" borderId="8" xfId="1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vertical="center" wrapText="1"/>
      <protection locked="0"/>
    </xf>
    <xf numFmtId="167" fontId="2" fillId="0" borderId="8" xfId="2" applyNumberFormat="1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left" vertical="center" wrapText="1"/>
      <protection locked="0"/>
    </xf>
    <xf numFmtId="166" fontId="2" fillId="0" borderId="8" xfId="1" applyNumberFormat="1" applyFont="1" applyFill="1" applyBorder="1" applyAlignment="1" applyProtection="1">
      <alignment horizontal="left" vertical="top" wrapText="1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166" fontId="2" fillId="0" borderId="8" xfId="1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left" vertical="top" wrapText="1"/>
      <protection locked="0"/>
    </xf>
    <xf numFmtId="166" fontId="2" fillId="0" borderId="9" xfId="1" applyNumberFormat="1" applyFont="1" applyFill="1" applyBorder="1" applyAlignment="1" applyProtection="1">
      <alignment horizontal="center" vertical="center"/>
    </xf>
    <xf numFmtId="166" fontId="2" fillId="0" borderId="9" xfId="1" applyNumberFormat="1" applyFont="1" applyFill="1" applyBorder="1" applyAlignment="1" applyProtection="1">
      <alignment horizontal="left" vertical="center" wrapText="1"/>
      <protection locked="0"/>
    </xf>
    <xf numFmtId="166" fontId="2" fillId="0" borderId="9" xfId="1" applyNumberFormat="1" applyFont="1" applyFill="1" applyBorder="1" applyAlignment="1" applyProtection="1">
      <alignment horizontal="left" vertical="top" wrapText="1"/>
      <protection locked="0"/>
    </xf>
    <xf numFmtId="16" fontId="2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4" fillId="0" borderId="8" xfId="0" applyFont="1" applyFill="1" applyBorder="1" applyAlignment="1" applyProtection="1">
      <alignment horizontal="center" vertical="center"/>
    </xf>
    <xf numFmtId="164" fontId="2" fillId="0" borderId="8" xfId="2" applyNumberFormat="1" applyFont="1" applyFill="1" applyBorder="1" applyAlignment="1" applyProtection="1">
      <alignment horizontal="center" vertical="center"/>
    </xf>
    <xf numFmtId="166" fontId="2" fillId="0" borderId="8" xfId="1" applyNumberFormat="1" applyFont="1" applyFill="1" applyBorder="1" applyAlignment="1" applyProtection="1">
      <alignment horizontal="left" vertical="center"/>
    </xf>
    <xf numFmtId="168" fontId="2" fillId="0" borderId="8" xfId="1" applyNumberFormat="1" applyFont="1" applyFill="1" applyBorder="1" applyAlignment="1" applyProtection="1">
      <alignment horizontal="center" vertical="center"/>
      <protection locked="0"/>
    </xf>
    <xf numFmtId="166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166" fontId="2" fillId="0" borderId="8" xfId="1" applyNumberFormat="1" applyFont="1" applyFill="1" applyBorder="1" applyAlignment="1" applyProtection="1">
      <alignment horizontal="left" vertical="center" wrapText="1"/>
      <protection locked="0"/>
    </xf>
    <xf numFmtId="4" fontId="2" fillId="0" borderId="8" xfId="0" applyNumberFormat="1" applyFont="1" applyFill="1" applyBorder="1" applyAlignment="1">
      <alignment horizontal="center" vertical="center"/>
    </xf>
    <xf numFmtId="168" fontId="2" fillId="0" borderId="8" xfId="1" applyNumberFormat="1" applyFont="1" applyFill="1" applyBorder="1" applyAlignment="1" applyProtection="1">
      <alignment horizontal="center" vertical="center"/>
    </xf>
    <xf numFmtId="166" fontId="2" fillId="0" borderId="8" xfId="1" applyNumberFormat="1" applyFont="1" applyFill="1" applyBorder="1" applyAlignment="1" applyProtection="1">
      <alignment horizontal="left" vertical="center" wrapText="1"/>
    </xf>
    <xf numFmtId="14" fontId="2" fillId="0" borderId="8" xfId="0" applyNumberFormat="1" applyFont="1" applyFill="1" applyBorder="1" applyAlignment="1" applyProtection="1">
      <alignment horizontal="center" vertical="center"/>
      <protection locked="0"/>
    </xf>
    <xf numFmtId="166" fontId="7" fillId="0" borderId="8" xfId="1" applyNumberFormat="1" applyFont="1" applyFill="1" applyBorder="1" applyAlignment="1" applyProtection="1">
      <alignment horizontal="center" vertical="center"/>
      <protection locked="0"/>
    </xf>
    <xf numFmtId="168" fontId="7" fillId="0" borderId="8" xfId="1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left"/>
      <protection locked="0"/>
    </xf>
    <xf numFmtId="166" fontId="2" fillId="0" borderId="8" xfId="1" applyNumberFormat="1" applyFont="1" applyFill="1" applyBorder="1" applyAlignment="1" applyProtection="1">
      <alignment vertical="center" wrapText="1"/>
      <protection locked="0"/>
    </xf>
    <xf numFmtId="166" fontId="2" fillId="0" borderId="8" xfId="1" applyNumberFormat="1" applyFont="1" applyFill="1" applyBorder="1" applyAlignment="1" applyProtection="1">
      <alignment horizontal="left" vertical="center" wrapText="1" shrinkToFit="1"/>
      <protection locked="0"/>
    </xf>
    <xf numFmtId="0" fontId="2" fillId="0" borderId="8" xfId="0" applyFont="1" applyFill="1" applyBorder="1" applyProtection="1">
      <protection locked="0"/>
    </xf>
    <xf numFmtId="165" fontId="2" fillId="0" borderId="8" xfId="1" applyFont="1" applyFill="1" applyBorder="1" applyAlignment="1" applyProtection="1">
      <alignment horizontal="center" vertical="center"/>
    </xf>
    <xf numFmtId="166" fontId="2" fillId="0" borderId="8" xfId="1" applyNumberFormat="1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168" fontId="4" fillId="0" borderId="8" xfId="1" applyNumberFormat="1" applyFont="1" applyFill="1" applyBorder="1" applyAlignment="1" applyProtection="1">
      <alignment horizontal="center" vertical="center"/>
    </xf>
    <xf numFmtId="166" fontId="2" fillId="0" borderId="0" xfId="0" applyNumberFormat="1" applyFont="1" applyFill="1" applyProtection="1">
      <protection locked="0"/>
    </xf>
    <xf numFmtId="165" fontId="2" fillId="0" borderId="0" xfId="1" applyFont="1" applyFill="1" applyProtection="1">
      <protection locked="0"/>
    </xf>
    <xf numFmtId="168" fontId="2" fillId="0" borderId="0" xfId="0" applyNumberFormat="1" applyFont="1" applyFill="1" applyProtection="1">
      <protection locked="0"/>
    </xf>
    <xf numFmtId="43" fontId="2" fillId="0" borderId="0" xfId="0" applyNumberFormat="1" applyFont="1" applyFill="1" applyProtection="1">
      <protection locked="0"/>
    </xf>
    <xf numFmtId="4" fontId="2" fillId="0" borderId="0" xfId="0" applyNumberFormat="1" applyFont="1" applyFill="1" applyProtection="1">
      <protection locked="0"/>
    </xf>
    <xf numFmtId="0" fontId="2" fillId="0" borderId="0" xfId="0" applyFont="1" applyFill="1" applyAlignment="1" applyProtection="1">
      <alignment horizontal="right" vertical="top" wrapText="1"/>
      <protection locked="0"/>
    </xf>
    <xf numFmtId="166" fontId="2" fillId="0" borderId="3" xfId="1" applyNumberFormat="1" applyFont="1" applyFill="1" applyBorder="1" applyAlignment="1" applyProtection="1">
      <alignment horizontal="left" vertical="center" wrapText="1"/>
      <protection locked="0"/>
    </xf>
    <xf numFmtId="166" fontId="2" fillId="0" borderId="9" xfId="1" applyNumberFormat="1" applyFont="1" applyFill="1" applyBorder="1" applyAlignment="1" applyProtection="1">
      <alignment horizontal="left" vertical="center" wrapText="1"/>
      <protection locked="0"/>
    </xf>
    <xf numFmtId="166" fontId="2" fillId="0" borderId="3" xfId="1" applyNumberFormat="1" applyFont="1" applyFill="1" applyBorder="1" applyAlignment="1" applyProtection="1">
      <alignment horizontal="left" vertical="center" wrapText="1"/>
    </xf>
    <xf numFmtId="166" fontId="2" fillId="0" borderId="7" xfId="1" applyNumberFormat="1" applyFont="1" applyFill="1" applyBorder="1" applyAlignment="1" applyProtection="1">
      <alignment horizontal="left" vertical="center" wrapText="1"/>
    </xf>
    <xf numFmtId="166" fontId="2" fillId="0" borderId="9" xfId="1" applyNumberFormat="1" applyFont="1" applyFill="1" applyBorder="1" applyAlignment="1" applyProtection="1">
      <alignment horizontal="left" vertical="center" wrapText="1"/>
    </xf>
    <xf numFmtId="166" fontId="2" fillId="0" borderId="7" xfId="1" applyNumberFormat="1" applyFont="1" applyFill="1" applyBorder="1" applyAlignment="1" applyProtection="1">
      <alignment horizontal="left" vertical="center" wrapText="1"/>
      <protection locked="0"/>
    </xf>
    <xf numFmtId="166" fontId="2" fillId="0" borderId="3" xfId="1" applyNumberFormat="1" applyFont="1" applyFill="1" applyBorder="1" applyAlignment="1" applyProtection="1">
      <alignment horizontal="center" vertical="center"/>
      <protection locked="0"/>
    </xf>
    <xf numFmtId="166" fontId="2" fillId="0" borderId="7" xfId="1" applyNumberFormat="1" applyFont="1" applyFill="1" applyBorder="1" applyAlignment="1" applyProtection="1">
      <alignment horizontal="center" vertical="center"/>
      <protection locked="0"/>
    </xf>
    <xf numFmtId="166" fontId="2" fillId="0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67"/>
  <sheetViews>
    <sheetView tabSelected="1" topLeftCell="A90" zoomScale="90" zoomScaleNormal="90" zoomScaleSheetLayoutView="80" workbookViewId="0">
      <selection activeCell="A94" sqref="A94"/>
    </sheetView>
  </sheetViews>
  <sheetFormatPr defaultColWidth="0.85546875" defaultRowHeight="15.75" x14ac:dyDescent="0.25"/>
  <cols>
    <col min="1" max="1" width="10.28515625" style="1" customWidth="1"/>
    <col min="2" max="2" width="40.28515625" style="2" customWidth="1"/>
    <col min="3" max="3" width="12.85546875" style="1" customWidth="1"/>
    <col min="4" max="4" width="11.42578125" style="1" customWidth="1"/>
    <col min="5" max="5" width="10.7109375" style="1" customWidth="1"/>
    <col min="6" max="6" width="11.28515625" style="1" customWidth="1"/>
    <col min="7" max="7" width="70.42578125" style="1" customWidth="1"/>
    <col min="8" max="8" width="34.28515625" style="1" customWidth="1"/>
    <col min="9" max="10" width="11.5703125" style="1" customWidth="1"/>
    <col min="11" max="11" width="10.7109375" style="1" customWidth="1"/>
    <col min="12" max="12" width="55.140625" style="3" customWidth="1"/>
    <col min="13" max="13" width="10.140625" style="1" customWidth="1"/>
    <col min="14" max="14" width="58" style="3" customWidth="1"/>
    <col min="15" max="15" width="10.42578125" style="3" customWidth="1"/>
    <col min="16" max="16" width="12.85546875" style="1" customWidth="1"/>
    <col min="17" max="17" width="5.85546875" style="1" customWidth="1"/>
    <col min="18" max="16384" width="0.85546875" style="1"/>
  </cols>
  <sheetData>
    <row r="1" spans="1:16" ht="15" customHeight="1" x14ac:dyDescent="0.25">
      <c r="N1" s="64" t="s">
        <v>266</v>
      </c>
      <c r="O1" s="64"/>
    </row>
    <row r="2" spans="1:16" ht="2.25" hidden="1" customHeight="1" x14ac:dyDescent="0.25"/>
    <row r="3" spans="1:16" ht="18.95" customHeight="1" x14ac:dyDescent="0.25">
      <c r="B3" s="81" t="s">
        <v>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4"/>
    </row>
    <row r="4" spans="1:16" s="5" customFormat="1" ht="18.95" customHeight="1" x14ac:dyDescent="0.25">
      <c r="B4" s="81" t="s">
        <v>1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4"/>
    </row>
    <row r="5" spans="1:16" s="5" customFormat="1" ht="18.75" customHeight="1" x14ac:dyDescent="0.25">
      <c r="B5" s="82" t="s">
        <v>2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6"/>
    </row>
    <row r="6" spans="1:16" ht="18.75" customHeight="1" x14ac:dyDescent="0.25">
      <c r="A6" s="4"/>
      <c r="B6" s="83" t="s">
        <v>3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6"/>
    </row>
    <row r="7" spans="1:16" ht="1.5" customHeight="1" x14ac:dyDescent="0.25"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7"/>
    </row>
    <row r="8" spans="1:16" ht="0.75" hidden="1" customHeight="1" x14ac:dyDescent="0.25"/>
    <row r="9" spans="1:16" ht="86.25" customHeight="1" x14ac:dyDescent="0.25">
      <c r="A9" s="85" t="s">
        <v>4</v>
      </c>
      <c r="B9" s="76" t="s">
        <v>5</v>
      </c>
      <c r="C9" s="85" t="s">
        <v>6</v>
      </c>
      <c r="D9" s="79"/>
      <c r="E9" s="89"/>
      <c r="F9" s="80"/>
      <c r="G9" s="85" t="s">
        <v>7</v>
      </c>
      <c r="H9" s="85" t="s">
        <v>8</v>
      </c>
      <c r="I9" s="79"/>
      <c r="J9" s="80"/>
      <c r="K9" s="8" t="s">
        <v>9</v>
      </c>
      <c r="L9" s="85" t="s">
        <v>10</v>
      </c>
      <c r="M9" s="8" t="s">
        <v>11</v>
      </c>
      <c r="N9" s="85" t="s">
        <v>12</v>
      </c>
      <c r="O9" s="85" t="s">
        <v>13</v>
      </c>
    </row>
    <row r="10" spans="1:16" ht="15" customHeight="1" x14ac:dyDescent="0.25">
      <c r="A10" s="86"/>
      <c r="B10" s="88"/>
      <c r="C10" s="86"/>
      <c r="D10" s="79">
        <v>2023</v>
      </c>
      <c r="E10" s="89"/>
      <c r="F10" s="80"/>
      <c r="G10" s="86"/>
      <c r="H10" s="86"/>
      <c r="I10" s="79">
        <v>2024</v>
      </c>
      <c r="J10" s="80"/>
      <c r="K10" s="9">
        <v>2025</v>
      </c>
      <c r="L10" s="86"/>
      <c r="M10" s="9">
        <v>2025</v>
      </c>
      <c r="N10" s="86"/>
      <c r="O10" s="86"/>
    </row>
    <row r="11" spans="1:16" ht="91.5" customHeight="1" x14ac:dyDescent="0.25">
      <c r="A11" s="87"/>
      <c r="B11" s="77"/>
      <c r="C11" s="87"/>
      <c r="D11" s="9" t="s">
        <v>14</v>
      </c>
      <c r="E11" s="9" t="s">
        <v>15</v>
      </c>
      <c r="F11" s="9" t="s">
        <v>16</v>
      </c>
      <c r="G11" s="87"/>
      <c r="H11" s="87"/>
      <c r="I11" s="9" t="s">
        <v>17</v>
      </c>
      <c r="J11" s="9" t="s">
        <v>18</v>
      </c>
      <c r="K11" s="9" t="s">
        <v>17</v>
      </c>
      <c r="L11" s="87"/>
      <c r="M11" s="9" t="s">
        <v>17</v>
      </c>
      <c r="N11" s="87"/>
      <c r="O11" s="87"/>
    </row>
    <row r="12" spans="1:16" ht="31.5" x14ac:dyDescent="0.25">
      <c r="A12" s="10"/>
      <c r="B12" s="11" t="s">
        <v>19</v>
      </c>
      <c r="C12" s="12"/>
      <c r="L12" s="12"/>
      <c r="N12" s="12"/>
      <c r="O12" s="12"/>
    </row>
    <row r="13" spans="1:16" ht="15" customHeight="1" x14ac:dyDescent="0.25">
      <c r="A13" s="13" t="s">
        <v>20</v>
      </c>
      <c r="B13" s="14" t="s">
        <v>21</v>
      </c>
      <c r="C13" s="15" t="s">
        <v>22</v>
      </c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7"/>
      <c r="O13" s="18" t="str">
        <f>IF(AND(I13&gt;0, M13&gt;0),M13/I13,"-")</f>
        <v>-</v>
      </c>
    </row>
    <row r="14" spans="1:16" ht="15" customHeight="1" x14ac:dyDescent="0.25">
      <c r="A14" s="74" t="s">
        <v>23</v>
      </c>
      <c r="B14" s="76" t="s">
        <v>24</v>
      </c>
      <c r="C14" s="19" t="s">
        <v>25</v>
      </c>
      <c r="D14" s="20"/>
      <c r="E14" s="20"/>
      <c r="F14" s="20"/>
      <c r="G14" s="67" t="s">
        <v>26</v>
      </c>
      <c r="H14" s="67" t="s">
        <v>26</v>
      </c>
      <c r="I14" s="20"/>
      <c r="J14" s="20"/>
      <c r="K14" s="20"/>
      <c r="L14" s="67" t="s">
        <v>27</v>
      </c>
      <c r="M14" s="20"/>
      <c r="N14" s="65" t="s">
        <v>28</v>
      </c>
      <c r="O14" s="18" t="str">
        <f t="shared" ref="O14:O79" si="0">IF(AND(I14&gt;0, M14&gt;0),M14/I14,"-")</f>
        <v>-</v>
      </c>
    </row>
    <row r="15" spans="1:16" ht="22.5" customHeight="1" x14ac:dyDescent="0.25">
      <c r="A15" s="78"/>
      <c r="B15" s="77"/>
      <c r="C15" s="19" t="s">
        <v>29</v>
      </c>
      <c r="D15" s="20">
        <f t="shared" ref="D15:F15" si="1">ROUND(D18,1)+ROUND(D20,1)</f>
        <v>7503</v>
      </c>
      <c r="E15" s="20">
        <f t="shared" si="1"/>
        <v>5177.3</v>
      </c>
      <c r="F15" s="20">
        <f t="shared" si="1"/>
        <v>5177.3</v>
      </c>
      <c r="G15" s="68"/>
      <c r="H15" s="68"/>
      <c r="I15" s="20">
        <f t="shared" ref="I15:K15" si="2">ROUND(I18,1)+ROUND(I20,1)</f>
        <v>6883</v>
      </c>
      <c r="J15" s="20">
        <f t="shared" si="2"/>
        <v>6031</v>
      </c>
      <c r="K15" s="20">
        <f t="shared" si="2"/>
        <v>6409</v>
      </c>
      <c r="L15" s="68"/>
      <c r="M15" s="20">
        <f>ROUND(M18,1)+ROUND(M20,1)</f>
        <v>6409</v>
      </c>
      <c r="N15" s="70"/>
      <c r="O15" s="18">
        <f t="shared" si="0"/>
        <v>0.93113467964550345</v>
      </c>
    </row>
    <row r="16" spans="1:16" ht="15" customHeight="1" x14ac:dyDescent="0.25">
      <c r="A16" s="75"/>
      <c r="B16" s="21" t="s">
        <v>30</v>
      </c>
      <c r="C16" s="19"/>
      <c r="D16" s="22"/>
      <c r="E16" s="22"/>
      <c r="F16" s="22"/>
      <c r="G16" s="68"/>
      <c r="H16" s="68"/>
      <c r="I16" s="22"/>
      <c r="J16" s="22"/>
      <c r="K16" s="22"/>
      <c r="L16" s="68"/>
      <c r="M16" s="22"/>
      <c r="N16" s="70"/>
      <c r="O16" s="18"/>
    </row>
    <row r="17" spans="1:15" ht="15" customHeight="1" x14ac:dyDescent="0.25">
      <c r="A17" s="74" t="s">
        <v>31</v>
      </c>
      <c r="B17" s="76" t="s">
        <v>32</v>
      </c>
      <c r="C17" s="19" t="s">
        <v>25</v>
      </c>
      <c r="D17" s="20"/>
      <c r="E17" s="20"/>
      <c r="F17" s="20"/>
      <c r="G17" s="68"/>
      <c r="H17" s="68"/>
      <c r="I17" s="20"/>
      <c r="J17" s="20"/>
      <c r="K17" s="20"/>
      <c r="L17" s="68"/>
      <c r="M17" s="20"/>
      <c r="N17" s="70"/>
      <c r="O17" s="18" t="str">
        <f t="shared" si="0"/>
        <v>-</v>
      </c>
    </row>
    <row r="18" spans="1:15" ht="24.75" customHeight="1" x14ac:dyDescent="0.25">
      <c r="A18" s="75"/>
      <c r="B18" s="77"/>
      <c r="C18" s="10" t="s">
        <v>29</v>
      </c>
      <c r="D18" s="20">
        <f>D21</f>
        <v>7503</v>
      </c>
      <c r="E18" s="20">
        <f>E21</f>
        <v>5177.3</v>
      </c>
      <c r="F18" s="20">
        <f>F21</f>
        <v>5177.3</v>
      </c>
      <c r="G18" s="68"/>
      <c r="H18" s="68"/>
      <c r="I18" s="20">
        <f>I21</f>
        <v>6883</v>
      </c>
      <c r="J18" s="20">
        <f>J21</f>
        <v>6031</v>
      </c>
      <c r="K18" s="20">
        <f>K21</f>
        <v>6409</v>
      </c>
      <c r="L18" s="68"/>
      <c r="M18" s="20">
        <f>M21</f>
        <v>6409</v>
      </c>
      <c r="N18" s="70"/>
      <c r="O18" s="18">
        <f t="shared" si="0"/>
        <v>0.93113467964550345</v>
      </c>
    </row>
    <row r="19" spans="1:15" ht="15" customHeight="1" x14ac:dyDescent="0.25">
      <c r="A19" s="74" t="s">
        <v>33</v>
      </c>
      <c r="B19" s="76" t="s">
        <v>34</v>
      </c>
      <c r="C19" s="19" t="s">
        <v>25</v>
      </c>
      <c r="D19" s="20"/>
      <c r="E19" s="20"/>
      <c r="F19" s="20"/>
      <c r="G19" s="68"/>
      <c r="H19" s="68"/>
      <c r="I19" s="20"/>
      <c r="J19" s="20"/>
      <c r="K19" s="20"/>
      <c r="L19" s="68"/>
      <c r="M19" s="20"/>
      <c r="N19" s="70"/>
      <c r="O19" s="18" t="str">
        <f t="shared" si="0"/>
        <v>-</v>
      </c>
    </row>
    <row r="20" spans="1:15" ht="15" customHeight="1" x14ac:dyDescent="0.25">
      <c r="A20" s="75"/>
      <c r="B20" s="77"/>
      <c r="C20" s="10" t="s">
        <v>29</v>
      </c>
      <c r="D20" s="20"/>
      <c r="E20" s="20"/>
      <c r="F20" s="20"/>
      <c r="G20" s="68"/>
      <c r="H20" s="68"/>
      <c r="I20" s="20"/>
      <c r="J20" s="20"/>
      <c r="K20" s="20"/>
      <c r="L20" s="68"/>
      <c r="M20" s="20"/>
      <c r="N20" s="70"/>
      <c r="O20" s="18" t="str">
        <f t="shared" si="0"/>
        <v>-</v>
      </c>
    </row>
    <row r="21" spans="1:15" ht="22.5" customHeight="1" x14ac:dyDescent="0.25">
      <c r="A21" s="23" t="s">
        <v>35</v>
      </c>
      <c r="B21" s="24" t="s">
        <v>36</v>
      </c>
      <c r="C21" s="10"/>
      <c r="D21" s="20">
        <f>D25</f>
        <v>7503</v>
      </c>
      <c r="E21" s="20">
        <f>E25</f>
        <v>5177.3</v>
      </c>
      <c r="F21" s="20">
        <f>F25</f>
        <v>5177.3</v>
      </c>
      <c r="G21" s="68"/>
      <c r="H21" s="68"/>
      <c r="I21" s="20">
        <f>I25</f>
        <v>6883</v>
      </c>
      <c r="J21" s="20">
        <f>J25</f>
        <v>6031</v>
      </c>
      <c r="K21" s="20">
        <f>K25</f>
        <v>6409</v>
      </c>
      <c r="L21" s="68"/>
      <c r="M21" s="20">
        <f>M25</f>
        <v>6409</v>
      </c>
      <c r="N21" s="70"/>
      <c r="O21" s="18">
        <f t="shared" si="0"/>
        <v>0.93113467964550345</v>
      </c>
    </row>
    <row r="22" spans="1:15" ht="15" customHeight="1" x14ac:dyDescent="0.25">
      <c r="A22" s="74" t="s">
        <v>37</v>
      </c>
      <c r="B22" s="76" t="s">
        <v>38</v>
      </c>
      <c r="C22" s="19" t="s">
        <v>25</v>
      </c>
      <c r="D22" s="20"/>
      <c r="E22" s="20"/>
      <c r="F22" s="20"/>
      <c r="G22" s="68"/>
      <c r="H22" s="68"/>
      <c r="I22" s="20"/>
      <c r="J22" s="20"/>
      <c r="K22" s="20"/>
      <c r="L22" s="68"/>
      <c r="M22" s="20"/>
      <c r="N22" s="70"/>
      <c r="O22" s="18" t="str">
        <f t="shared" si="0"/>
        <v>-</v>
      </c>
    </row>
    <row r="23" spans="1:15" ht="15" customHeight="1" x14ac:dyDescent="0.25">
      <c r="A23" s="75"/>
      <c r="B23" s="77"/>
      <c r="C23" s="10" t="s">
        <v>29</v>
      </c>
      <c r="D23" s="20"/>
      <c r="E23" s="20"/>
      <c r="F23" s="20"/>
      <c r="G23" s="68"/>
      <c r="H23" s="68"/>
      <c r="I23" s="20"/>
      <c r="J23" s="20"/>
      <c r="K23" s="20"/>
      <c r="L23" s="68"/>
      <c r="M23" s="20"/>
      <c r="N23" s="70"/>
      <c r="O23" s="18" t="str">
        <f t="shared" si="0"/>
        <v>-</v>
      </c>
    </row>
    <row r="24" spans="1:15" ht="15" customHeight="1" x14ac:dyDescent="0.25">
      <c r="A24" s="74" t="s">
        <v>39</v>
      </c>
      <c r="B24" s="76" t="s">
        <v>40</v>
      </c>
      <c r="C24" s="19" t="s">
        <v>25</v>
      </c>
      <c r="D24" s="20"/>
      <c r="E24" s="20"/>
      <c r="F24" s="20"/>
      <c r="G24" s="68"/>
      <c r="H24" s="68"/>
      <c r="I24" s="20"/>
      <c r="J24" s="20"/>
      <c r="K24" s="20"/>
      <c r="L24" s="68"/>
      <c r="M24" s="20"/>
      <c r="N24" s="70"/>
      <c r="O24" s="18" t="str">
        <f t="shared" si="0"/>
        <v>-</v>
      </c>
    </row>
    <row r="25" spans="1:15" ht="15" customHeight="1" x14ac:dyDescent="0.25">
      <c r="A25" s="75"/>
      <c r="B25" s="77"/>
      <c r="C25" s="10" t="s">
        <v>29</v>
      </c>
      <c r="D25" s="20">
        <v>7503</v>
      </c>
      <c r="E25" s="20">
        <v>5177.3</v>
      </c>
      <c r="F25" s="20">
        <v>5177.3</v>
      </c>
      <c r="G25" s="68"/>
      <c r="H25" s="68"/>
      <c r="I25" s="20">
        <v>6883</v>
      </c>
      <c r="J25" s="20">
        <v>6031</v>
      </c>
      <c r="K25" s="20">
        <v>6409</v>
      </c>
      <c r="L25" s="68"/>
      <c r="M25" s="20">
        <v>6409</v>
      </c>
      <c r="N25" s="70"/>
      <c r="O25" s="18">
        <f t="shared" si="0"/>
        <v>0.93113467964550345</v>
      </c>
    </row>
    <row r="26" spans="1:15" ht="22.5" customHeight="1" x14ac:dyDescent="0.25">
      <c r="A26" s="74" t="s">
        <v>41</v>
      </c>
      <c r="B26" s="76" t="s">
        <v>42</v>
      </c>
      <c r="C26" s="19" t="s">
        <v>25</v>
      </c>
      <c r="D26" s="20"/>
      <c r="E26" s="20"/>
      <c r="F26" s="20"/>
      <c r="G26" s="68"/>
      <c r="H26" s="68"/>
      <c r="I26" s="20"/>
      <c r="J26" s="20"/>
      <c r="K26" s="20"/>
      <c r="L26" s="68"/>
      <c r="M26" s="20"/>
      <c r="N26" s="70"/>
      <c r="O26" s="18" t="str">
        <f t="shared" si="0"/>
        <v>-</v>
      </c>
    </row>
    <row r="27" spans="1:15" ht="64.5" customHeight="1" x14ac:dyDescent="0.25">
      <c r="A27" s="75"/>
      <c r="B27" s="77"/>
      <c r="C27" s="10" t="s">
        <v>29</v>
      </c>
      <c r="D27" s="20"/>
      <c r="E27" s="20"/>
      <c r="F27" s="20"/>
      <c r="G27" s="69"/>
      <c r="H27" s="69"/>
      <c r="I27" s="20"/>
      <c r="J27" s="20"/>
      <c r="K27" s="20"/>
      <c r="L27" s="69"/>
      <c r="M27" s="20"/>
      <c r="N27" s="66"/>
      <c r="O27" s="18" t="str">
        <f t="shared" si="0"/>
        <v>-</v>
      </c>
    </row>
    <row r="28" spans="1:15" ht="15" customHeight="1" x14ac:dyDescent="0.25">
      <c r="A28" s="23"/>
      <c r="B28" s="21" t="s">
        <v>43</v>
      </c>
      <c r="C28" s="23"/>
      <c r="D28" s="22" t="str">
        <f>IF(AND(D14=ROUND((D22+D24+D26),1),D15=ROUND((D23+D25+D27),1)),"","Ошибка2")</f>
        <v/>
      </c>
      <c r="E28" s="22" t="str">
        <f>IF(AND(E14=ROUND((E22+E24+E26),1),E15=ROUND((E23+E25+E27),1)),"","Ошибка2")</f>
        <v/>
      </c>
      <c r="F28" s="22" t="str">
        <f t="shared" ref="F28:M28" si="3">IF(AND(F14=ROUND((F22+F24+F26),1),F15=ROUND((F23+F25+F27),1)),"","Ошибка2")</f>
        <v/>
      </c>
      <c r="G28" s="22"/>
      <c r="H28" s="22"/>
      <c r="I28" s="22" t="str">
        <f t="shared" si="3"/>
        <v/>
      </c>
      <c r="J28" s="22" t="str">
        <f t="shared" si="3"/>
        <v/>
      </c>
      <c r="K28" s="22" t="str">
        <f t="shared" si="3"/>
        <v/>
      </c>
      <c r="L28" s="25"/>
      <c r="M28" s="22" t="str">
        <f t="shared" si="3"/>
        <v/>
      </c>
      <c r="N28" s="25"/>
      <c r="O28" s="18"/>
    </row>
    <row r="29" spans="1:15" ht="31.5" x14ac:dyDescent="0.25">
      <c r="A29" s="10" t="s">
        <v>44</v>
      </c>
      <c r="B29" s="26" t="s">
        <v>45</v>
      </c>
      <c r="C29" s="10" t="s">
        <v>46</v>
      </c>
      <c r="D29" s="27"/>
      <c r="E29" s="27"/>
      <c r="F29" s="27"/>
      <c r="G29" s="27"/>
      <c r="H29" s="27"/>
      <c r="I29" s="27"/>
      <c r="J29" s="27"/>
      <c r="K29" s="27"/>
      <c r="L29" s="25"/>
      <c r="M29" s="20"/>
      <c r="N29" s="25"/>
      <c r="O29" s="18" t="str">
        <f t="shared" si="0"/>
        <v>-</v>
      </c>
    </row>
    <row r="30" spans="1:15" ht="31.5" x14ac:dyDescent="0.25">
      <c r="A30" s="16"/>
      <c r="B30" s="11" t="s">
        <v>47</v>
      </c>
      <c r="C30" s="12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18" t="str">
        <f t="shared" si="0"/>
        <v>-</v>
      </c>
    </row>
    <row r="31" spans="1:15" x14ac:dyDescent="0.25">
      <c r="A31" s="16"/>
      <c r="B31" s="26" t="s">
        <v>48</v>
      </c>
      <c r="C31" s="29" t="s">
        <v>49</v>
      </c>
      <c r="D31" s="30"/>
      <c r="E31" s="31"/>
      <c r="F31" s="31"/>
      <c r="G31" s="31"/>
      <c r="H31" s="31"/>
      <c r="I31" s="31"/>
      <c r="J31" s="31"/>
      <c r="K31" s="31"/>
      <c r="L31" s="32"/>
      <c r="M31" s="31"/>
      <c r="N31" s="32"/>
      <c r="O31" s="18" t="str">
        <f t="shared" si="0"/>
        <v>-</v>
      </c>
    </row>
    <row r="32" spans="1:15" ht="27.75" customHeight="1" x14ac:dyDescent="0.25">
      <c r="A32" s="10" t="s">
        <v>20</v>
      </c>
      <c r="B32" s="26" t="s">
        <v>50</v>
      </c>
      <c r="C32" s="19" t="s">
        <v>51</v>
      </c>
      <c r="D32" s="33">
        <f>ROUND(D33,1)+ROUND(D97,1)+ROUND(D82,1)</f>
        <v>17073.2</v>
      </c>
      <c r="E32" s="33">
        <f>ROUND(E33,1)+ROUND(E97,1)+ROUND(E82,1)</f>
        <v>15997.199999999999</v>
      </c>
      <c r="F32" s="33">
        <f>ROUND(F33,1)+ROUND(F97,1)+ROUND(F82,1)</f>
        <v>15997.199999999999</v>
      </c>
      <c r="G32" s="34" t="s">
        <v>52</v>
      </c>
      <c r="H32" s="35"/>
      <c r="I32" s="33">
        <f>ROUND(I33,1)+ROUND(I97,1)+ROUND(I82,1)</f>
        <v>14324.1</v>
      </c>
      <c r="J32" s="33">
        <f>ROUND(J33,1)+ROUND(J97,1)+ROUND(J82,1)</f>
        <v>16906.2</v>
      </c>
      <c r="K32" s="33">
        <f>ROUND(K33,1)+ROUND(K97,1)+ROUND(K82,1)</f>
        <v>21916.799999999999</v>
      </c>
      <c r="L32" s="35" t="s">
        <v>53</v>
      </c>
      <c r="M32" s="33">
        <f>ROUND(M33,1)+ROUND(M97,1)+ROUND(M82,1)</f>
        <v>20883</v>
      </c>
      <c r="N32" s="35" t="s">
        <v>53</v>
      </c>
      <c r="O32" s="18">
        <f t="shared" si="0"/>
        <v>1.4578926424696839</v>
      </c>
    </row>
    <row r="33" spans="1:15" ht="49.5" customHeight="1" x14ac:dyDescent="0.25">
      <c r="A33" s="36" t="s">
        <v>54</v>
      </c>
      <c r="B33" s="26" t="s">
        <v>55</v>
      </c>
      <c r="C33" s="19" t="s">
        <v>51</v>
      </c>
      <c r="D33" s="20">
        <f>ROUND(D39,1)+ROUND(D56,1)+ROUND(D63,1)</f>
        <v>13381.9</v>
      </c>
      <c r="E33" s="20">
        <f>ROUND(E39,1)+ROUND(E56,1)+ROUND(E63,1)</f>
        <v>15045.400000000001</v>
      </c>
      <c r="F33" s="20">
        <f>ROUND(F39,1)+ROUND(F56,1)+ROUND(F63,1)</f>
        <v>15045.400000000001</v>
      </c>
      <c r="G33" s="34" t="s">
        <v>52</v>
      </c>
      <c r="H33" s="20"/>
      <c r="I33" s="20">
        <f>ROUND(I39,1)+ROUND(I56,1)+ROUND(I63,1)</f>
        <v>13028.400000000001</v>
      </c>
      <c r="J33" s="20">
        <f>ROUND(J39,1)+ROUND(J56,1)+ROUND(J63,1)</f>
        <v>15818.5</v>
      </c>
      <c r="K33" s="20">
        <f>ROUND(K39,1)+ROUND(K56,1)+ROUND(K63,1)</f>
        <v>12575.400000000001</v>
      </c>
      <c r="L33" s="25" t="s">
        <v>56</v>
      </c>
      <c r="M33" s="20">
        <f>ROUND(M39,1)+ROUND(M56,1)+ROUND(M63,1)</f>
        <v>12706.5</v>
      </c>
      <c r="N33" s="25" t="s">
        <v>56</v>
      </c>
      <c r="O33" s="18">
        <f t="shared" si="0"/>
        <v>0.97529243805839538</v>
      </c>
    </row>
    <row r="34" spans="1:15" ht="15" customHeight="1" x14ac:dyDescent="0.25">
      <c r="A34" s="10"/>
      <c r="B34" s="37" t="s">
        <v>57</v>
      </c>
      <c r="C34" s="19"/>
      <c r="D34" s="20"/>
      <c r="E34" s="20"/>
      <c r="F34" s="20"/>
      <c r="G34" s="20"/>
      <c r="H34" s="20"/>
      <c r="I34" s="20"/>
      <c r="J34" s="20"/>
      <c r="K34" s="20"/>
      <c r="L34" s="25"/>
      <c r="M34" s="20"/>
      <c r="N34" s="25"/>
      <c r="O34" s="18" t="str">
        <f t="shared" si="0"/>
        <v>-</v>
      </c>
    </row>
    <row r="35" spans="1:15" ht="36.75" customHeight="1" x14ac:dyDescent="0.25">
      <c r="A35" s="10"/>
      <c r="B35" s="26" t="s">
        <v>58</v>
      </c>
      <c r="C35" s="38" t="s">
        <v>46</v>
      </c>
      <c r="D35" s="39">
        <v>0.01</v>
      </c>
      <c r="E35" s="39">
        <v>0.01</v>
      </c>
      <c r="F35" s="39">
        <v>0.01</v>
      </c>
      <c r="G35" s="20"/>
      <c r="H35" s="20"/>
      <c r="I35" s="39">
        <v>0.01</v>
      </c>
      <c r="J35" s="39">
        <v>0.01</v>
      </c>
      <c r="K35" s="39">
        <v>0.01</v>
      </c>
      <c r="L35" s="25" t="s">
        <v>59</v>
      </c>
      <c r="M35" s="39">
        <v>0.01</v>
      </c>
      <c r="N35" s="25" t="s">
        <v>59</v>
      </c>
      <c r="O35" s="18">
        <f t="shared" si="0"/>
        <v>1</v>
      </c>
    </row>
    <row r="36" spans="1:15" ht="31.5" customHeight="1" x14ac:dyDescent="0.25">
      <c r="A36" s="10"/>
      <c r="B36" s="26" t="s">
        <v>60</v>
      </c>
      <c r="C36" s="38" t="s">
        <v>46</v>
      </c>
      <c r="D36" s="39">
        <v>1.06</v>
      </c>
      <c r="E36" s="39"/>
      <c r="F36" s="39">
        <v>1.0589999999999999</v>
      </c>
      <c r="G36" s="39"/>
      <c r="H36" s="39"/>
      <c r="I36" s="39">
        <v>1.0720000000000001</v>
      </c>
      <c r="J36" s="39">
        <v>1.0720000000000001</v>
      </c>
      <c r="K36" s="39">
        <v>1.0580000000000001</v>
      </c>
      <c r="L36" s="65" t="s">
        <v>61</v>
      </c>
      <c r="M36" s="39">
        <v>1.0580000000000001</v>
      </c>
      <c r="N36" s="65" t="s">
        <v>61</v>
      </c>
      <c r="O36" s="18">
        <f t="shared" si="0"/>
        <v>0.98694029850746268</v>
      </c>
    </row>
    <row r="37" spans="1:15" ht="48.75" customHeight="1" x14ac:dyDescent="0.25">
      <c r="A37" s="10"/>
      <c r="B37" s="26" t="s">
        <v>62</v>
      </c>
      <c r="C37" s="38" t="s">
        <v>46</v>
      </c>
      <c r="D37" s="39">
        <v>1.08</v>
      </c>
      <c r="E37" s="39"/>
      <c r="F37" s="39">
        <v>1.1180000000000001</v>
      </c>
      <c r="G37" s="39"/>
      <c r="H37" s="39"/>
      <c r="I37" s="39">
        <v>1.056</v>
      </c>
      <c r="J37" s="39">
        <v>1.056</v>
      </c>
      <c r="K37" s="39">
        <v>1.0980000000000001</v>
      </c>
      <c r="L37" s="66"/>
      <c r="M37" s="39">
        <v>1.0980000000000001</v>
      </c>
      <c r="N37" s="66"/>
      <c r="O37" s="18">
        <f t="shared" si="0"/>
        <v>1.0397727272727273</v>
      </c>
    </row>
    <row r="38" spans="1:15" ht="37.5" customHeight="1" x14ac:dyDescent="0.25">
      <c r="A38" s="10"/>
      <c r="B38" s="26" t="s">
        <v>63</v>
      </c>
      <c r="C38" s="38" t="s">
        <v>46</v>
      </c>
      <c r="D38" s="39">
        <v>0.26200000000000001</v>
      </c>
      <c r="E38" s="39">
        <v>0.26200000000000001</v>
      </c>
      <c r="F38" s="39">
        <v>0.26200000000000001</v>
      </c>
      <c r="G38" s="39"/>
      <c r="H38" s="39"/>
      <c r="I38" s="39">
        <v>0.26200000000000001</v>
      </c>
      <c r="J38" s="39">
        <v>0.26200000000000001</v>
      </c>
      <c r="K38" s="39">
        <v>0.26200000000000001</v>
      </c>
      <c r="L38" s="39"/>
      <c r="M38" s="39">
        <v>0.26200000000000001</v>
      </c>
      <c r="N38" s="34"/>
      <c r="O38" s="18">
        <f t="shared" si="0"/>
        <v>1</v>
      </c>
    </row>
    <row r="39" spans="1:15" ht="34.5" customHeight="1" x14ac:dyDescent="0.25">
      <c r="A39" s="36" t="s">
        <v>64</v>
      </c>
      <c r="B39" s="26" t="s">
        <v>65</v>
      </c>
      <c r="C39" s="19" t="s">
        <v>51</v>
      </c>
      <c r="D39" s="20">
        <f>ROUND(D40,1)+ROUND(D44,1)+ROUND(D45,1)+ROUND(D54,1)+ROUND(D55,1)</f>
        <v>7565.4999999999991</v>
      </c>
      <c r="E39" s="20">
        <f>ROUND(E40,1)+ROUND(E44,1)+ROUND(E45,1)+ROUND(E54,1)+ROUND(E55,1)</f>
        <v>9012.2000000000007</v>
      </c>
      <c r="F39" s="20">
        <f>ROUND(F40,1)+ROUND(F44,1)+ROUND(F45,1)+ROUND(F54,1)+ROUND(F55,1)</f>
        <v>9012.2000000000007</v>
      </c>
      <c r="G39" s="35" t="s">
        <v>52</v>
      </c>
      <c r="H39" s="35"/>
      <c r="I39" s="20">
        <f>ROUND(I40,1)+ROUND(I44,1)+ROUND(I45,1)+ROUND(I54,1)+ROUND(I55,1)</f>
        <v>7365.5999999999995</v>
      </c>
      <c r="J39" s="20">
        <f>ROUND(J40,1)+ROUND(J44,1)+ROUND(J45,1)+ROUND(J54,1)+ROUND(J55,1)</f>
        <v>9503.7000000000007</v>
      </c>
      <c r="K39" s="20">
        <f>ROUND(K40,1)+ROUND(K44,1)+ROUND(K45,1)+ROUND(K54,1)+ROUND(K55,1)</f>
        <v>7109.5</v>
      </c>
      <c r="L39" s="40" t="s">
        <v>53</v>
      </c>
      <c r="M39" s="20">
        <f>ROUND(M40,1)+ROUND(M44,1)+ROUND(M45,1)+ROUND(M54,1)+ROUND(M55,1)</f>
        <v>7183.7</v>
      </c>
      <c r="N39" s="40" t="s">
        <v>53</v>
      </c>
      <c r="O39" s="18">
        <f>IF(AND(I39&gt;0, M39&gt;0),M39/I39,"-")</f>
        <v>0.97530411643314874</v>
      </c>
    </row>
    <row r="40" spans="1:15" ht="31.5" x14ac:dyDescent="0.25">
      <c r="A40" s="10" t="s">
        <v>66</v>
      </c>
      <c r="B40" s="26" t="s">
        <v>67</v>
      </c>
      <c r="C40" s="10" t="s">
        <v>51</v>
      </c>
      <c r="D40" s="27">
        <f>SUM(D41:D43)</f>
        <v>382.8</v>
      </c>
      <c r="E40" s="41">
        <f>SUM(E41:E43)</f>
        <v>260.89999999999998</v>
      </c>
      <c r="F40" s="27">
        <f>SUM(F41:F43)</f>
        <v>260.87099999999998</v>
      </c>
      <c r="G40" s="35" t="s">
        <v>52</v>
      </c>
      <c r="H40" s="27"/>
      <c r="I40" s="41">
        <f>SUM(I41:I43)</f>
        <v>372.7</v>
      </c>
      <c r="J40" s="41">
        <f>SUM(J41:J43)</f>
        <v>263.68</v>
      </c>
      <c r="K40" s="41">
        <f>SUM(K41:K43)</f>
        <v>359.73999999999995</v>
      </c>
      <c r="L40" s="25"/>
      <c r="M40" s="20">
        <f>I40*$M$36*(1-$M$35)*($M$15/$I$15)</f>
        <v>363.49024240970505</v>
      </c>
      <c r="N40" s="42" t="s">
        <v>68</v>
      </c>
      <c r="O40" s="18">
        <f>IF(AND(I40&gt;0, M40&gt;0),M40/I40,"-")</f>
        <v>0.97528908615429311</v>
      </c>
    </row>
    <row r="41" spans="1:15" ht="52.5" customHeight="1" x14ac:dyDescent="0.25">
      <c r="A41" s="10"/>
      <c r="B41" s="26" t="s">
        <v>69</v>
      </c>
      <c r="C41" s="10" t="s">
        <v>51</v>
      </c>
      <c r="D41" s="27">
        <v>287.10000000000002</v>
      </c>
      <c r="E41" s="27">
        <v>0</v>
      </c>
      <c r="F41" s="27">
        <v>0</v>
      </c>
      <c r="H41" s="42"/>
      <c r="I41" s="41">
        <v>279.5</v>
      </c>
      <c r="J41" s="41"/>
      <c r="K41" s="41">
        <v>269.77999999999997</v>
      </c>
      <c r="L41" s="25"/>
      <c r="M41" s="20">
        <f t="shared" ref="M41:M47" si="4">I41*$M$36*(1-$M$35)*($M$15/$I$15)</f>
        <v>272.59329958012495</v>
      </c>
      <c r="N41" s="25" t="s">
        <v>70</v>
      </c>
      <c r="O41" s="18">
        <f t="shared" si="0"/>
        <v>0.97528908615429322</v>
      </c>
    </row>
    <row r="42" spans="1:15" ht="70.5" customHeight="1" x14ac:dyDescent="0.25">
      <c r="A42" s="10"/>
      <c r="B42" s="26" t="s">
        <v>71</v>
      </c>
      <c r="C42" s="10" t="s">
        <v>51</v>
      </c>
      <c r="D42" s="27">
        <v>95.7</v>
      </c>
      <c r="E42" s="41">
        <v>40.429000000000002</v>
      </c>
      <c r="F42" s="27">
        <v>40.4</v>
      </c>
      <c r="G42" s="43" t="s">
        <v>72</v>
      </c>
      <c r="H42" s="42"/>
      <c r="I42" s="41">
        <v>93.2</v>
      </c>
      <c r="J42" s="41">
        <v>42.33</v>
      </c>
      <c r="K42" s="41">
        <v>89.96</v>
      </c>
      <c r="L42" s="25"/>
      <c r="M42" s="20">
        <f>I42*$M$36*(1-$M$35)*($M$15/$I$15)</f>
        <v>90.896942829580126</v>
      </c>
      <c r="N42" s="25" t="s">
        <v>70</v>
      </c>
      <c r="O42" s="18">
        <f t="shared" si="0"/>
        <v>0.97528908615429322</v>
      </c>
    </row>
    <row r="43" spans="1:15" ht="276" customHeight="1" x14ac:dyDescent="0.25">
      <c r="A43" s="10"/>
      <c r="B43" s="26" t="s">
        <v>73</v>
      </c>
      <c r="C43" s="10" t="s">
        <v>51</v>
      </c>
      <c r="D43" s="27"/>
      <c r="E43" s="41">
        <f>16.3+195.118+1.189+0.625+7.239</f>
        <v>220.471</v>
      </c>
      <c r="F43" s="27">
        <f>E43</f>
        <v>220.471</v>
      </c>
      <c r="G43" s="43" t="s">
        <v>74</v>
      </c>
      <c r="H43" s="27"/>
      <c r="I43" s="27"/>
      <c r="J43" s="27">
        <v>221.35</v>
      </c>
      <c r="K43" s="27"/>
      <c r="L43" s="43"/>
      <c r="M43" s="20"/>
      <c r="N43" s="42" t="s">
        <v>68</v>
      </c>
      <c r="O43" s="18" t="str">
        <f t="shared" si="0"/>
        <v>-</v>
      </c>
    </row>
    <row r="44" spans="1:15" ht="334.5" customHeight="1" x14ac:dyDescent="0.25">
      <c r="A44" s="10" t="s">
        <v>75</v>
      </c>
      <c r="B44" s="26" t="s">
        <v>76</v>
      </c>
      <c r="C44" s="10" t="s">
        <v>51</v>
      </c>
      <c r="D44" s="27">
        <v>3787.6</v>
      </c>
      <c r="E44" s="44">
        <f>631.27+53.2+759.878+405.701+2112.264+148.742</f>
        <v>4111.0550000000003</v>
      </c>
      <c r="F44" s="44">
        <f>E44</f>
        <v>4111.0550000000003</v>
      </c>
      <c r="G44" s="43" t="s">
        <v>77</v>
      </c>
      <c r="H44" s="42"/>
      <c r="I44" s="27">
        <v>3687.5</v>
      </c>
      <c r="J44" s="27">
        <v>4304.28</v>
      </c>
      <c r="K44" s="27">
        <v>3559.26</v>
      </c>
      <c r="L44" s="25"/>
      <c r="M44" s="20">
        <f>I44*$M$36*(1-$M$35)*($M$15/$I$15)</f>
        <v>3596.3785051939562</v>
      </c>
      <c r="N44" s="43" t="s">
        <v>70</v>
      </c>
      <c r="O44" s="18">
        <f t="shared" si="0"/>
        <v>0.97528908615429322</v>
      </c>
    </row>
    <row r="45" spans="1:15" ht="47.25" x14ac:dyDescent="0.25">
      <c r="A45" s="10" t="s">
        <v>78</v>
      </c>
      <c r="B45" s="26" t="s">
        <v>79</v>
      </c>
      <c r="C45" s="19" t="s">
        <v>51</v>
      </c>
      <c r="D45" s="20">
        <f>ROUND(D46,1)+ROUND(D49,1)+ROUND(D50,1)+ROUND(D53,1)</f>
        <v>2976.7</v>
      </c>
      <c r="E45" s="45">
        <f>ROUND(E46,1)+ROUND(E49,1)+ROUND(E50,1)+ROUND(E53,1)</f>
        <v>2690.2</v>
      </c>
      <c r="F45" s="45">
        <f>ROUND(F46,1)+ROUND(F49,1)+ROUND(F50,1)+ROUND(F53,1)</f>
        <v>2690.2</v>
      </c>
      <c r="G45" s="67" t="s">
        <v>80</v>
      </c>
      <c r="H45" s="20"/>
      <c r="I45" s="20">
        <f>ROUND(I46,1)+ROUND(I49,1)+ROUND(I50,1)+ROUND(I53,1)</f>
        <v>2898.1</v>
      </c>
      <c r="J45" s="20">
        <f>ROUND(J46,1)+ROUND(J49,1)+ROUND(J50,1)+ROUND(J53,1)</f>
        <v>2884.7000000000003</v>
      </c>
      <c r="K45" s="20">
        <f>ROUND(K46,1)+ROUND(K49,1)+ROUND(K50,1)+ROUND(K53,1)</f>
        <v>2797.4</v>
      </c>
      <c r="L45" s="25"/>
      <c r="M45" s="20">
        <f t="shared" si="4"/>
        <v>2826.4853005837576</v>
      </c>
      <c r="N45" s="43" t="s">
        <v>70</v>
      </c>
      <c r="O45" s="18">
        <f t="shared" si="0"/>
        <v>0.97528908615429344</v>
      </c>
    </row>
    <row r="46" spans="1:15" ht="31.5" x14ac:dyDescent="0.25">
      <c r="A46" s="10" t="s">
        <v>81</v>
      </c>
      <c r="B46" s="26" t="s">
        <v>82</v>
      </c>
      <c r="C46" s="10" t="s">
        <v>51</v>
      </c>
      <c r="D46" s="27">
        <f>D47*D48*12/1000</f>
        <v>2358.5255999999999</v>
      </c>
      <c r="E46" s="27">
        <f>E47*E48*12/1000</f>
        <v>2183.1400800000001</v>
      </c>
      <c r="F46" s="27">
        <f>F47*F48*12/1000</f>
        <v>2183.1400800000001</v>
      </c>
      <c r="G46" s="68"/>
      <c r="H46" s="27"/>
      <c r="I46" s="27">
        <v>2296.1999999999998</v>
      </c>
      <c r="J46" s="27">
        <v>2285.75</v>
      </c>
      <c r="K46" s="27">
        <v>2216.35</v>
      </c>
      <c r="L46" s="25"/>
      <c r="M46" s="20">
        <f t="shared" si="4"/>
        <v>2239.4587996274881</v>
      </c>
      <c r="N46" s="43" t="s">
        <v>70</v>
      </c>
      <c r="O46" s="18">
        <f t="shared" si="0"/>
        <v>0.97528908615429333</v>
      </c>
    </row>
    <row r="47" spans="1:15" ht="47.25" x14ac:dyDescent="0.25">
      <c r="A47" s="10"/>
      <c r="B47" s="26" t="s">
        <v>83</v>
      </c>
      <c r="C47" s="10" t="s">
        <v>84</v>
      </c>
      <c r="D47" s="27">
        <v>43676.4</v>
      </c>
      <c r="E47" s="41">
        <v>40428.519999999997</v>
      </c>
      <c r="F47" s="41">
        <f>E47</f>
        <v>40428.519999999997</v>
      </c>
      <c r="G47" s="68"/>
      <c r="H47" s="27"/>
      <c r="I47" s="27">
        <f>I46/12/I48*1000</f>
        <v>42522.222222222219</v>
      </c>
      <c r="J47" s="27">
        <v>42328.66</v>
      </c>
      <c r="K47" s="27">
        <v>43862.98</v>
      </c>
      <c r="L47" s="25"/>
      <c r="M47" s="20">
        <f t="shared" si="4"/>
        <v>41471.459252360888</v>
      </c>
      <c r="N47" s="43" t="s">
        <v>70</v>
      </c>
      <c r="O47" s="18">
        <f t="shared" si="0"/>
        <v>0.97528908615429322</v>
      </c>
    </row>
    <row r="48" spans="1:15" ht="44.25" customHeight="1" x14ac:dyDescent="0.25">
      <c r="A48" s="10"/>
      <c r="B48" s="26" t="s">
        <v>85</v>
      </c>
      <c r="C48" s="10" t="s">
        <v>86</v>
      </c>
      <c r="D48" s="27">
        <v>4.5</v>
      </c>
      <c r="E48" s="27">
        <v>4.5</v>
      </c>
      <c r="F48" s="27">
        <f>E48</f>
        <v>4.5</v>
      </c>
      <c r="G48" s="68"/>
      <c r="H48" s="27"/>
      <c r="I48" s="27">
        <v>4.5</v>
      </c>
      <c r="J48" s="27">
        <v>4.5</v>
      </c>
      <c r="K48" s="27">
        <v>4.5</v>
      </c>
      <c r="L48" s="25"/>
      <c r="M48" s="20">
        <v>4.5</v>
      </c>
      <c r="N48" s="43" t="s">
        <v>68</v>
      </c>
      <c r="O48" s="18">
        <f t="shared" si="0"/>
        <v>1</v>
      </c>
    </row>
    <row r="49" spans="1:15" ht="47.25" x14ac:dyDescent="0.25">
      <c r="A49" s="10" t="s">
        <v>87</v>
      </c>
      <c r="B49" s="26" t="s">
        <v>88</v>
      </c>
      <c r="C49" s="19" t="s">
        <v>51</v>
      </c>
      <c r="D49" s="20">
        <v>618.20000000000005</v>
      </c>
      <c r="E49" s="45">
        <f>498.9+6.5+1.675</f>
        <v>507.07499999999999</v>
      </c>
      <c r="F49" s="45">
        <f>E49</f>
        <v>507.07499999999999</v>
      </c>
      <c r="G49" s="69"/>
      <c r="H49" s="20"/>
      <c r="I49" s="45">
        <v>601.9</v>
      </c>
      <c r="J49" s="20">
        <f>J46*$I$38</f>
        <v>598.86649999999997</v>
      </c>
      <c r="K49" s="45">
        <v>580.97</v>
      </c>
      <c r="L49" s="25"/>
      <c r="M49" s="20">
        <f>I49*$M$36*(1-$M$35)*($M$15/$I$15)</f>
        <v>587.02650095626905</v>
      </c>
      <c r="N49" s="43" t="s">
        <v>70</v>
      </c>
      <c r="O49" s="18">
        <f t="shared" si="0"/>
        <v>0.97528908615429322</v>
      </c>
    </row>
    <row r="50" spans="1:15" ht="31.5" hidden="1" x14ac:dyDescent="0.25">
      <c r="A50" s="10" t="s">
        <v>89</v>
      </c>
      <c r="B50" s="26" t="s">
        <v>90</v>
      </c>
      <c r="C50" s="10" t="s">
        <v>51</v>
      </c>
      <c r="D50" s="27"/>
      <c r="E50" s="27"/>
      <c r="F50" s="27"/>
      <c r="G50" s="27"/>
      <c r="H50" s="27"/>
      <c r="I50" s="27"/>
      <c r="J50" s="27"/>
      <c r="K50" s="27"/>
      <c r="L50" s="25"/>
      <c r="M50" s="20">
        <f>I50*$M$36*(1-$M$35)*($M$15/$I$15)</f>
        <v>0</v>
      </c>
      <c r="N50" s="43" t="s">
        <v>68</v>
      </c>
      <c r="O50" s="18" t="str">
        <f t="shared" si="0"/>
        <v>-</v>
      </c>
    </row>
    <row r="51" spans="1:15" ht="31.5" hidden="1" x14ac:dyDescent="0.25">
      <c r="A51" s="10"/>
      <c r="B51" s="26" t="s">
        <v>91</v>
      </c>
      <c r="C51" s="10" t="s">
        <v>84</v>
      </c>
      <c r="D51" s="27"/>
      <c r="E51" s="27"/>
      <c r="F51" s="27"/>
      <c r="G51" s="27"/>
      <c r="H51" s="27"/>
      <c r="I51" s="27"/>
      <c r="J51" s="27"/>
      <c r="K51" s="27"/>
      <c r="L51" s="25"/>
      <c r="M51" s="20">
        <f>I51*$M$36*(1-$M$35)*($M$15/$I$15)</f>
        <v>0</v>
      </c>
      <c r="N51" s="43" t="s">
        <v>68</v>
      </c>
      <c r="O51" s="18" t="str">
        <f t="shared" si="0"/>
        <v>-</v>
      </c>
    </row>
    <row r="52" spans="1:15" ht="47.25" hidden="1" x14ac:dyDescent="0.25">
      <c r="A52" s="10"/>
      <c r="B52" s="26" t="s">
        <v>92</v>
      </c>
      <c r="C52" s="10" t="s">
        <v>86</v>
      </c>
      <c r="D52" s="27"/>
      <c r="E52" s="27"/>
      <c r="F52" s="27"/>
      <c r="G52" s="27"/>
      <c r="H52" s="27"/>
      <c r="I52" s="27"/>
      <c r="J52" s="27"/>
      <c r="K52" s="27"/>
      <c r="L52" s="25"/>
      <c r="M52" s="20"/>
      <c r="N52" s="43" t="s">
        <v>68</v>
      </c>
      <c r="O52" s="18" t="str">
        <f t="shared" si="0"/>
        <v>-</v>
      </c>
    </row>
    <row r="53" spans="1:15" ht="31.5" hidden="1" x14ac:dyDescent="0.25">
      <c r="A53" s="10" t="s">
        <v>93</v>
      </c>
      <c r="B53" s="26" t="s">
        <v>94</v>
      </c>
      <c r="C53" s="19" t="s">
        <v>51</v>
      </c>
      <c r="D53" s="20">
        <f>D50*$D$38</f>
        <v>0</v>
      </c>
      <c r="E53" s="20">
        <f>E50*$E$38</f>
        <v>0</v>
      </c>
      <c r="F53" s="20">
        <f>F50*$F$38</f>
        <v>0</v>
      </c>
      <c r="G53" s="20"/>
      <c r="H53" s="20"/>
      <c r="I53" s="20">
        <f>I50*$I$38</f>
        <v>0</v>
      </c>
      <c r="J53" s="20"/>
      <c r="K53" s="20">
        <f>K50*$K$38</f>
        <v>0</v>
      </c>
      <c r="L53" s="25"/>
      <c r="M53" s="20">
        <f>I53*$M$36*(1-$M$35)*($M$15/$I$15)</f>
        <v>0</v>
      </c>
      <c r="N53" s="43" t="s">
        <v>68</v>
      </c>
      <c r="O53" s="18" t="str">
        <f>IF(AND(I53&gt;0, M53&gt;0),M53/I53,"-")</f>
        <v>-</v>
      </c>
    </row>
    <row r="54" spans="1:15" ht="96" hidden="1" customHeight="1" x14ac:dyDescent="0.25">
      <c r="A54" s="10" t="s">
        <v>95</v>
      </c>
      <c r="B54" s="26" t="s">
        <v>96</v>
      </c>
      <c r="C54" s="10" t="s">
        <v>51</v>
      </c>
      <c r="D54" s="27"/>
      <c r="E54" s="27"/>
      <c r="F54" s="27"/>
      <c r="G54" s="27"/>
      <c r="H54" s="27"/>
      <c r="I54" s="27"/>
      <c r="J54" s="27"/>
      <c r="K54" s="27"/>
      <c r="L54" s="25"/>
      <c r="M54" s="20">
        <f t="shared" ref="M54:M60" si="5">I54*$M$36*(1-$M$35)*($M$15/$I$15)</f>
        <v>0</v>
      </c>
      <c r="N54" s="43" t="s">
        <v>68</v>
      </c>
      <c r="O54" s="18" t="str">
        <f t="shared" si="0"/>
        <v>-</v>
      </c>
    </row>
    <row r="55" spans="1:15" ht="309" customHeight="1" x14ac:dyDescent="0.25">
      <c r="A55" s="10" t="s">
        <v>97</v>
      </c>
      <c r="B55" s="26" t="s">
        <v>98</v>
      </c>
      <c r="C55" s="19" t="s">
        <v>51</v>
      </c>
      <c r="D55" s="20">
        <v>418.4</v>
      </c>
      <c r="E55" s="44">
        <f>144.018+7.132+505.291+5.659+320+190.5+777.4</f>
        <v>1950</v>
      </c>
      <c r="F55" s="44">
        <f>E55</f>
        <v>1950</v>
      </c>
      <c r="G55" s="46" t="s">
        <v>265</v>
      </c>
      <c r="H55" s="46"/>
      <c r="I55" s="45">
        <v>407.34</v>
      </c>
      <c r="J55" s="20">
        <v>2051</v>
      </c>
      <c r="K55" s="45">
        <v>393.14</v>
      </c>
      <c r="L55" s="25"/>
      <c r="M55" s="20">
        <f t="shared" si="5"/>
        <v>397.2742563540898</v>
      </c>
      <c r="N55" s="43" t="s">
        <v>70</v>
      </c>
      <c r="O55" s="18">
        <f t="shared" si="0"/>
        <v>0.97528908615429333</v>
      </c>
    </row>
    <row r="56" spans="1:15" ht="22.5" customHeight="1" x14ac:dyDescent="0.25">
      <c r="A56" s="47" t="s">
        <v>99</v>
      </c>
      <c r="B56" s="26" t="s">
        <v>100</v>
      </c>
      <c r="C56" s="19" t="s">
        <v>51</v>
      </c>
      <c r="D56" s="20">
        <f>ROUND(D57,1)+ROUND(D58,1)+ROUND(D59,1)+ROUND(D62,1)</f>
        <v>784.3</v>
      </c>
      <c r="E56" s="20">
        <f>ROUND(E57,1)+ROUND(E58,1)+ROUND(E59,1)+ROUND(E62,1)</f>
        <v>927.9</v>
      </c>
      <c r="F56" s="20">
        <f>ROUND(F57,1)+ROUND(F58,1)+ROUND(F59,1)+ROUND(F62,1)</f>
        <v>927.9</v>
      </c>
      <c r="G56" s="20"/>
      <c r="H56" s="20"/>
      <c r="I56" s="45">
        <f>ROUND(I57,1)+ROUND(I58,1)+ROUND(I59,1)+ROUND(I62,1)</f>
        <v>763.6</v>
      </c>
      <c r="J56" s="45">
        <f>ROUND(J57,1)+ROUND(J58,1)+ROUND(J59,1)+ROUND(J62,1)</f>
        <v>971.5</v>
      </c>
      <c r="K56" s="45">
        <f>ROUND(K57,1)+ROUND(K58,1)+ROUND(K59,1)+ROUND(K62,1)</f>
        <v>737.1</v>
      </c>
      <c r="L56" s="25"/>
      <c r="M56" s="20">
        <f t="shared" si="5"/>
        <v>744.73074618741839</v>
      </c>
      <c r="N56" s="43" t="s">
        <v>53</v>
      </c>
      <c r="O56" s="18">
        <f t="shared" si="0"/>
        <v>0.97528908615429333</v>
      </c>
    </row>
    <row r="57" spans="1:15" ht="58.5" customHeight="1" x14ac:dyDescent="0.25">
      <c r="A57" s="10" t="s">
        <v>101</v>
      </c>
      <c r="B57" s="26" t="s">
        <v>102</v>
      </c>
      <c r="C57" s="10" t="s">
        <v>51</v>
      </c>
      <c r="D57" s="27"/>
      <c r="E57" s="27"/>
      <c r="F57" s="27"/>
      <c r="G57" s="27"/>
      <c r="H57" s="27"/>
      <c r="I57" s="41"/>
      <c r="J57" s="41"/>
      <c r="K57" s="41">
        <v>0</v>
      </c>
      <c r="L57" s="25"/>
      <c r="M57" s="20">
        <f t="shared" si="5"/>
        <v>0</v>
      </c>
      <c r="N57" s="43" t="s">
        <v>68</v>
      </c>
      <c r="O57" s="18" t="str">
        <f t="shared" si="0"/>
        <v>-</v>
      </c>
    </row>
    <row r="58" spans="1:15" ht="79.5" customHeight="1" x14ac:dyDescent="0.25">
      <c r="A58" s="10" t="s">
        <v>103</v>
      </c>
      <c r="B58" s="26" t="s">
        <v>104</v>
      </c>
      <c r="C58" s="10" t="s">
        <v>51</v>
      </c>
      <c r="D58" s="27">
        <v>784.3</v>
      </c>
      <c r="E58" s="27">
        <f>339.208+588.712</f>
        <v>927.92000000000007</v>
      </c>
      <c r="F58" s="27">
        <f>E58</f>
        <v>927.92000000000007</v>
      </c>
      <c r="G58" s="43" t="s">
        <v>105</v>
      </c>
      <c r="H58" s="42"/>
      <c r="I58" s="41">
        <v>763.6</v>
      </c>
      <c r="J58" s="41">
        <v>971.53</v>
      </c>
      <c r="K58" s="41">
        <v>737.05</v>
      </c>
      <c r="L58" s="25"/>
      <c r="M58" s="20">
        <f t="shared" si="5"/>
        <v>744.73074618741839</v>
      </c>
      <c r="N58" s="43" t="s">
        <v>70</v>
      </c>
      <c r="O58" s="18">
        <f t="shared" si="0"/>
        <v>0.97528908615429333</v>
      </c>
    </row>
    <row r="59" spans="1:15" ht="96" hidden="1" customHeight="1" x14ac:dyDescent="0.25">
      <c r="A59" s="10" t="s">
        <v>106</v>
      </c>
      <c r="B59" s="26" t="s">
        <v>107</v>
      </c>
      <c r="C59" s="10" t="s">
        <v>51</v>
      </c>
      <c r="D59" s="27"/>
      <c r="E59" s="27"/>
      <c r="F59" s="27"/>
      <c r="G59" s="27"/>
      <c r="H59" s="27"/>
      <c r="I59" s="41"/>
      <c r="J59" s="41"/>
      <c r="K59" s="41">
        <v>0</v>
      </c>
      <c r="L59" s="25"/>
      <c r="M59" s="20">
        <f t="shared" si="5"/>
        <v>0</v>
      </c>
      <c r="N59" s="43" t="s">
        <v>68</v>
      </c>
      <c r="O59" s="18" t="str">
        <f t="shared" si="0"/>
        <v>-</v>
      </c>
    </row>
    <row r="60" spans="1:15" ht="96" hidden="1" customHeight="1" x14ac:dyDescent="0.25">
      <c r="A60" s="10"/>
      <c r="B60" s="26" t="s">
        <v>108</v>
      </c>
      <c r="C60" s="10" t="s">
        <v>84</v>
      </c>
      <c r="D60" s="27"/>
      <c r="E60" s="27"/>
      <c r="F60" s="27"/>
      <c r="G60" s="27"/>
      <c r="H60" s="27"/>
      <c r="I60" s="41"/>
      <c r="J60" s="41"/>
      <c r="K60" s="41">
        <v>0</v>
      </c>
      <c r="L60" s="25"/>
      <c r="M60" s="20">
        <f t="shared" si="5"/>
        <v>0</v>
      </c>
      <c r="N60" s="43" t="s">
        <v>68</v>
      </c>
      <c r="O60" s="18" t="str">
        <f t="shared" si="0"/>
        <v>-</v>
      </c>
    </row>
    <row r="61" spans="1:15" ht="96" hidden="1" customHeight="1" x14ac:dyDescent="0.25">
      <c r="A61" s="10"/>
      <c r="B61" s="26" t="s">
        <v>109</v>
      </c>
      <c r="C61" s="10" t="s">
        <v>86</v>
      </c>
      <c r="D61" s="27"/>
      <c r="E61" s="27"/>
      <c r="F61" s="27"/>
      <c r="G61" s="27"/>
      <c r="H61" s="27"/>
      <c r="I61" s="41"/>
      <c r="J61" s="41"/>
      <c r="K61" s="41"/>
      <c r="L61" s="25"/>
      <c r="M61" s="20"/>
      <c r="N61" s="43" t="s">
        <v>68</v>
      </c>
      <c r="O61" s="18" t="str">
        <f t="shared" si="0"/>
        <v>-</v>
      </c>
    </row>
    <row r="62" spans="1:15" ht="31.5" hidden="1" x14ac:dyDescent="0.25">
      <c r="A62" s="10" t="s">
        <v>110</v>
      </c>
      <c r="B62" s="26" t="s">
        <v>111</v>
      </c>
      <c r="C62" s="19" t="s">
        <v>51</v>
      </c>
      <c r="D62" s="20">
        <f>D59*$D$38</f>
        <v>0</v>
      </c>
      <c r="E62" s="20">
        <f>E59*$E$38</f>
        <v>0</v>
      </c>
      <c r="F62" s="20">
        <f>F59*$F$38</f>
        <v>0</v>
      </c>
      <c r="G62" s="20"/>
      <c r="H62" s="20"/>
      <c r="I62" s="45">
        <f>I59*$I$38</f>
        <v>0</v>
      </c>
      <c r="J62" s="45"/>
      <c r="K62" s="45">
        <f>K59*$K$38</f>
        <v>0</v>
      </c>
      <c r="L62" s="25"/>
      <c r="M62" s="20">
        <f>I62*$M$36*(1-$M$35)*($M$15/$I$15)</f>
        <v>0</v>
      </c>
      <c r="N62" s="43" t="s">
        <v>68</v>
      </c>
      <c r="O62" s="18" t="str">
        <f t="shared" si="0"/>
        <v>-</v>
      </c>
    </row>
    <row r="63" spans="1:15" ht="15" customHeight="1" x14ac:dyDescent="0.25">
      <c r="A63" s="10" t="s">
        <v>112</v>
      </c>
      <c r="B63" s="26" t="s">
        <v>113</v>
      </c>
      <c r="C63" s="19" t="s">
        <v>51</v>
      </c>
      <c r="D63" s="20">
        <f>ROUND(D64,1)+ROUND(D67,1)+ROUND(D68,1)+ROUND(D76,1)+ROUND(D77,1)+ROUND(D78,1)+ROUND(D79,1)+ROUND(D80,1)+ROUND(D81,1)</f>
        <v>5032.1000000000004</v>
      </c>
      <c r="E63" s="45">
        <f>ROUND(E64,1)+ROUND(E67,1)+ROUND(E68,1)+ROUND(E76,1)+ROUND(E77,1)+ROUND(E78,1)+ROUND(E79,1)+ROUND(E80,1)+ROUND(E81,1)</f>
        <v>5105.3</v>
      </c>
      <c r="F63" s="45">
        <f>ROUND(F64,1)+ROUND(F67,1)+ROUND(F68,1)+ROUND(F76,1)+ROUND(F77,1)+ROUND(F78,1)+ROUND(F79,1)+ROUND(F80,1)+ROUND(F81,1)</f>
        <v>5105.3</v>
      </c>
      <c r="G63" s="40" t="s">
        <v>53</v>
      </c>
      <c r="H63" s="20"/>
      <c r="I63" s="45">
        <f>ROUND(I64,1)+ROUND(I67,1)+ROUND(I68,1)+ROUND(I76,1)+ROUND(I77,1)+ROUND(I78,1)+ROUND(I79,1)+ROUND(I80,1)+ROUND(I81,1)</f>
        <v>4899.2</v>
      </c>
      <c r="J63" s="45">
        <f>ROUND(J64,1)+ROUND(J67,1)+ROUND(J68,1)+ROUND(J76,1)+ROUND(J77,1)+ROUND(J78,1)+ROUND(J79,1)+ROUND(J80,1)+ROUND(J81,1)</f>
        <v>5343.2999999999993</v>
      </c>
      <c r="K63" s="45">
        <f>ROUND(K64,1)+ROUND(K67,1)+ROUND(K68,1)+ROUND(K76,1)+ROUND(K77,1)+ROUND(K78,1)+ROUND(K79,1)+ROUND(K80,1)+ROUND(K81,1)</f>
        <v>4728.7999999999993</v>
      </c>
      <c r="L63" s="25"/>
      <c r="M63" s="20">
        <f>I63*$M$36*(1-$M$35)*($M$15/$I$15)</f>
        <v>4778.1362908871133</v>
      </c>
      <c r="N63" s="43" t="s">
        <v>68</v>
      </c>
      <c r="O63" s="18">
        <f t="shared" si="0"/>
        <v>0.97528908615429322</v>
      </c>
    </row>
    <row r="64" spans="1:15" ht="45" customHeight="1" x14ac:dyDescent="0.25">
      <c r="A64" s="10" t="s">
        <v>114</v>
      </c>
      <c r="B64" s="26" t="s">
        <v>115</v>
      </c>
      <c r="C64" s="10" t="s">
        <v>51</v>
      </c>
      <c r="D64" s="27">
        <v>3741.6</v>
      </c>
      <c r="E64" s="41">
        <f>E65*E66*12/1000</f>
        <v>3850.0299840000002</v>
      </c>
      <c r="F64" s="41">
        <f>F65*F66*12/1000</f>
        <v>3850.0299840000002</v>
      </c>
      <c r="G64" s="65" t="s">
        <v>116</v>
      </c>
      <c r="H64" s="71"/>
      <c r="I64" s="41">
        <v>3642.8</v>
      </c>
      <c r="J64" s="41">
        <v>4030.98</v>
      </c>
      <c r="K64" s="41">
        <v>3516.12</v>
      </c>
      <c r="L64" s="25"/>
      <c r="M64" s="20">
        <f>I64*$M$36*(1-$M$35)*($M$15/$I$15)</f>
        <v>3552.7830830428593</v>
      </c>
      <c r="N64" s="43" t="s">
        <v>70</v>
      </c>
      <c r="O64" s="18">
        <f t="shared" si="0"/>
        <v>0.97528908615429311</v>
      </c>
    </row>
    <row r="65" spans="1:15" ht="31.5" x14ac:dyDescent="0.25">
      <c r="A65" s="10"/>
      <c r="B65" s="26" t="s">
        <v>117</v>
      </c>
      <c r="C65" s="10" t="s">
        <v>84</v>
      </c>
      <c r="D65" s="27">
        <v>67199</v>
      </c>
      <c r="E65" s="48">
        <v>69746.92</v>
      </c>
      <c r="F65" s="48">
        <f>E65</f>
        <v>69746.92</v>
      </c>
      <c r="G65" s="70"/>
      <c r="H65" s="72"/>
      <c r="I65" s="41">
        <v>65423.7</v>
      </c>
      <c r="J65" s="41">
        <v>73025.03</v>
      </c>
      <c r="K65" s="41">
        <v>63148.55</v>
      </c>
      <c r="L65" s="25"/>
      <c r="M65" s="20">
        <f>I65*$M$36*(1-$M$35)*($M$15/$I$15)</f>
        <v>63807.02058583263</v>
      </c>
      <c r="N65" s="43" t="s">
        <v>70</v>
      </c>
      <c r="O65" s="18">
        <f t="shared" si="0"/>
        <v>0.97528908615429322</v>
      </c>
    </row>
    <row r="66" spans="1:15" ht="45.75" customHeight="1" x14ac:dyDescent="0.25">
      <c r="A66" s="10"/>
      <c r="B66" s="26" t="s">
        <v>118</v>
      </c>
      <c r="C66" s="10" t="s">
        <v>86</v>
      </c>
      <c r="D66" s="27">
        <v>4.5999999999999996</v>
      </c>
      <c r="E66" s="48">
        <v>4.5999999999999996</v>
      </c>
      <c r="F66" s="48">
        <f>D66</f>
        <v>4.5999999999999996</v>
      </c>
      <c r="G66" s="70"/>
      <c r="H66" s="72"/>
      <c r="I66" s="41">
        <v>4.5999999999999996</v>
      </c>
      <c r="J66" s="41">
        <v>4.5999999999999996</v>
      </c>
      <c r="K66" s="41">
        <v>4.5999999999999996</v>
      </c>
      <c r="L66" s="25"/>
      <c r="M66" s="20">
        <f>M64/M65/12*1000</f>
        <v>4.6400106791066031</v>
      </c>
      <c r="N66" s="43" t="s">
        <v>68</v>
      </c>
      <c r="O66" s="18">
        <f t="shared" si="0"/>
        <v>1.0086979737188269</v>
      </c>
    </row>
    <row r="67" spans="1:15" ht="31.5" x14ac:dyDescent="0.25">
      <c r="A67" s="10" t="s">
        <v>119</v>
      </c>
      <c r="B67" s="26" t="s">
        <v>120</v>
      </c>
      <c r="C67" s="19" t="s">
        <v>51</v>
      </c>
      <c r="D67" s="20">
        <v>834</v>
      </c>
      <c r="E67" s="49">
        <f>793.5+11.6</f>
        <v>805.1</v>
      </c>
      <c r="F67" s="49">
        <f>E67</f>
        <v>805.1</v>
      </c>
      <c r="G67" s="66"/>
      <c r="H67" s="73"/>
      <c r="I67" s="45">
        <v>811.9</v>
      </c>
      <c r="J67" s="45">
        <v>842.92</v>
      </c>
      <c r="K67" s="45">
        <v>783.73</v>
      </c>
      <c r="L67" s="25"/>
      <c r="M67" s="45">
        <f>I67*$M$36*(1-$M$35)*($M$15/$I$15)</f>
        <v>791.83720904867073</v>
      </c>
      <c r="N67" s="43" t="s">
        <v>70</v>
      </c>
      <c r="O67" s="18">
        <f t="shared" si="0"/>
        <v>0.97528908615429333</v>
      </c>
    </row>
    <row r="68" spans="1:15" ht="94.5" x14ac:dyDescent="0.25">
      <c r="A68" s="10" t="s">
        <v>121</v>
      </c>
      <c r="B68" s="26" t="s">
        <v>122</v>
      </c>
      <c r="C68" s="10" t="s">
        <v>51</v>
      </c>
      <c r="D68" s="20">
        <f>SUM(D69:D75)</f>
        <v>66.400000000000006</v>
      </c>
      <c r="E68" s="45">
        <f>SUM(E69:E75)</f>
        <v>257.12</v>
      </c>
      <c r="F68" s="45">
        <f>SUM(F69:F75)</f>
        <v>257.12</v>
      </c>
      <c r="G68" s="40" t="s">
        <v>52</v>
      </c>
      <c r="H68" s="20"/>
      <c r="I68" s="45">
        <f>SUM(I69:I75)</f>
        <v>64.7</v>
      </c>
      <c r="J68" s="45">
        <v>269.23</v>
      </c>
      <c r="K68" s="45">
        <v>62.4</v>
      </c>
      <c r="L68" s="25"/>
      <c r="M68" s="45">
        <f>I68*$M$36*(1-$M$35)*($M$15/$I$15)</f>
        <v>63.101203874182772</v>
      </c>
      <c r="N68" s="43" t="s">
        <v>52</v>
      </c>
      <c r="O68" s="18">
        <f t="shared" si="0"/>
        <v>0.97528908615429322</v>
      </c>
    </row>
    <row r="69" spans="1:15" ht="94.5" customHeight="1" x14ac:dyDescent="0.25">
      <c r="A69" s="10"/>
      <c r="B69" s="26" t="s">
        <v>123</v>
      </c>
      <c r="C69" s="10" t="s">
        <v>51</v>
      </c>
      <c r="D69" s="27">
        <v>66.400000000000006</v>
      </c>
      <c r="E69" s="41">
        <f>25.6+57.8+8.9</f>
        <v>92.300000000000011</v>
      </c>
      <c r="F69" s="41">
        <f>E69</f>
        <v>92.300000000000011</v>
      </c>
      <c r="G69" s="43" t="s">
        <v>124</v>
      </c>
      <c r="H69" s="27"/>
      <c r="I69" s="41">
        <v>64.7</v>
      </c>
      <c r="J69" s="41">
        <v>96.66</v>
      </c>
      <c r="K69" s="41">
        <v>62.35</v>
      </c>
      <c r="L69" s="25"/>
      <c r="M69" s="45">
        <f t="shared" ref="M69:M81" si="6">I69*$M$36*(1-$M$35)*($M$15/$I$15)</f>
        <v>63.101203874182772</v>
      </c>
      <c r="N69" s="43" t="s">
        <v>70</v>
      </c>
      <c r="O69" s="18">
        <f t="shared" si="0"/>
        <v>0.97528908615429322</v>
      </c>
    </row>
    <row r="70" spans="1:15" ht="50.25" customHeight="1" x14ac:dyDescent="0.25">
      <c r="A70" s="10"/>
      <c r="B70" s="26" t="s">
        <v>125</v>
      </c>
      <c r="C70" s="10" t="s">
        <v>51</v>
      </c>
      <c r="D70" s="27"/>
      <c r="E70" s="41">
        <v>34.29</v>
      </c>
      <c r="F70" s="41">
        <f>E70</f>
        <v>34.29</v>
      </c>
      <c r="G70" s="43" t="s">
        <v>126</v>
      </c>
      <c r="H70" s="42"/>
      <c r="I70" s="41"/>
      <c r="J70" s="41">
        <v>35.9</v>
      </c>
      <c r="K70" s="41"/>
      <c r="L70" s="25"/>
      <c r="M70" s="20"/>
      <c r="N70" s="50"/>
      <c r="O70" s="18" t="str">
        <f t="shared" si="0"/>
        <v>-</v>
      </c>
    </row>
    <row r="71" spans="1:15" x14ac:dyDescent="0.25">
      <c r="A71" s="10"/>
      <c r="B71" s="26" t="s">
        <v>127</v>
      </c>
      <c r="C71" s="10" t="s">
        <v>51</v>
      </c>
      <c r="D71" s="27"/>
      <c r="E71" s="27"/>
      <c r="F71" s="27"/>
      <c r="G71" s="27"/>
      <c r="H71" s="27"/>
      <c r="I71" s="41"/>
      <c r="J71" s="41"/>
      <c r="K71" s="41"/>
      <c r="L71" s="25"/>
      <c r="M71" s="20"/>
      <c r="N71" s="43" t="s">
        <v>68</v>
      </c>
      <c r="O71" s="18" t="str">
        <f t="shared" si="0"/>
        <v>-</v>
      </c>
    </row>
    <row r="72" spans="1:15" x14ac:dyDescent="0.25">
      <c r="A72" s="10"/>
      <c r="B72" s="26" t="s">
        <v>128</v>
      </c>
      <c r="C72" s="10" t="s">
        <v>51</v>
      </c>
      <c r="D72" s="27"/>
      <c r="E72" s="27"/>
      <c r="F72" s="27"/>
      <c r="G72" s="27"/>
      <c r="H72" s="27"/>
      <c r="I72" s="41"/>
      <c r="J72" s="41"/>
      <c r="K72" s="41"/>
      <c r="L72" s="25"/>
      <c r="M72" s="20"/>
      <c r="N72" s="43" t="s">
        <v>68</v>
      </c>
      <c r="O72" s="18" t="str">
        <f t="shared" si="0"/>
        <v>-</v>
      </c>
    </row>
    <row r="73" spans="1:15" x14ac:dyDescent="0.25">
      <c r="A73" s="10"/>
      <c r="B73" s="26" t="s">
        <v>129</v>
      </c>
      <c r="C73" s="10" t="s">
        <v>51</v>
      </c>
      <c r="D73" s="27"/>
      <c r="E73" s="27"/>
      <c r="F73" s="27"/>
      <c r="G73" s="27"/>
      <c r="H73" s="27"/>
      <c r="I73" s="41"/>
      <c r="J73" s="41"/>
      <c r="K73" s="41"/>
      <c r="L73" s="25"/>
      <c r="M73" s="20"/>
      <c r="N73" s="43" t="s">
        <v>68</v>
      </c>
      <c r="O73" s="18" t="str">
        <f t="shared" si="0"/>
        <v>-</v>
      </c>
    </row>
    <row r="74" spans="1:15" x14ac:dyDescent="0.25">
      <c r="A74" s="10"/>
      <c r="B74" s="26" t="s">
        <v>130</v>
      </c>
      <c r="C74" s="10" t="s">
        <v>51</v>
      </c>
      <c r="D74" s="27"/>
      <c r="E74" s="27"/>
      <c r="F74" s="27"/>
      <c r="G74" s="27"/>
      <c r="H74" s="27"/>
      <c r="I74" s="41"/>
      <c r="J74" s="41"/>
      <c r="K74" s="41"/>
      <c r="L74" s="25"/>
      <c r="M74" s="20"/>
      <c r="N74" s="43" t="s">
        <v>68</v>
      </c>
      <c r="O74" s="18" t="str">
        <f t="shared" si="0"/>
        <v>-</v>
      </c>
    </row>
    <row r="75" spans="1:15" ht="161.25" customHeight="1" x14ac:dyDescent="0.25">
      <c r="A75" s="10"/>
      <c r="B75" s="26" t="s">
        <v>131</v>
      </c>
      <c r="C75" s="10" t="s">
        <v>51</v>
      </c>
      <c r="D75" s="27"/>
      <c r="E75" s="41">
        <f>9.784+5.684+101.727+13.335</f>
        <v>130.53</v>
      </c>
      <c r="F75" s="41">
        <f>E75</f>
        <v>130.53</v>
      </c>
      <c r="G75" s="51" t="s">
        <v>132</v>
      </c>
      <c r="H75" s="52"/>
      <c r="I75" s="41">
        <v>0</v>
      </c>
      <c r="J75" s="41"/>
      <c r="K75" s="41">
        <v>0</v>
      </c>
      <c r="L75" s="25"/>
      <c r="M75" s="20">
        <f t="shared" si="6"/>
        <v>0</v>
      </c>
      <c r="N75" s="43" t="s">
        <v>68</v>
      </c>
      <c r="O75" s="18" t="str">
        <f t="shared" si="0"/>
        <v>-</v>
      </c>
    </row>
    <row r="76" spans="1:15" ht="99" customHeight="1" x14ac:dyDescent="0.25">
      <c r="A76" s="10" t="s">
        <v>133</v>
      </c>
      <c r="B76" s="26" t="s">
        <v>134</v>
      </c>
      <c r="C76" s="10" t="s">
        <v>51</v>
      </c>
      <c r="D76" s="27">
        <v>130.80000000000001</v>
      </c>
      <c r="E76" s="41">
        <v>118.9</v>
      </c>
      <c r="F76" s="41">
        <f>E76</f>
        <v>118.9</v>
      </c>
      <c r="G76" s="51" t="s">
        <v>135</v>
      </c>
      <c r="H76" s="27"/>
      <c r="I76" s="41">
        <v>127.3</v>
      </c>
      <c r="J76" s="41">
        <v>124.46</v>
      </c>
      <c r="K76" s="41">
        <v>122.91</v>
      </c>
      <c r="L76" s="25"/>
      <c r="M76" s="45">
        <f t="shared" si="6"/>
        <v>124.15430066744153</v>
      </c>
      <c r="N76" s="43" t="s">
        <v>70</v>
      </c>
      <c r="O76" s="18">
        <f t="shared" si="0"/>
        <v>0.97528908615429333</v>
      </c>
    </row>
    <row r="77" spans="1:15" ht="42" customHeight="1" x14ac:dyDescent="0.25">
      <c r="A77" s="10" t="s">
        <v>136</v>
      </c>
      <c r="B77" s="26" t="s">
        <v>137</v>
      </c>
      <c r="C77" s="10" t="s">
        <v>51</v>
      </c>
      <c r="D77" s="27">
        <v>114.5</v>
      </c>
      <c r="E77" s="27">
        <v>0</v>
      </c>
      <c r="F77" s="27">
        <v>0</v>
      </c>
      <c r="G77" s="27"/>
      <c r="H77" s="42"/>
      <c r="I77" s="41">
        <v>111.5</v>
      </c>
      <c r="J77" s="41">
        <v>0</v>
      </c>
      <c r="K77" s="41">
        <v>107.6</v>
      </c>
      <c r="L77" s="25"/>
      <c r="M77" s="45">
        <f t="shared" si="6"/>
        <v>108.7447331062037</v>
      </c>
      <c r="N77" s="43" t="s">
        <v>70</v>
      </c>
      <c r="O77" s="18">
        <f t="shared" si="0"/>
        <v>0.97528908615429322</v>
      </c>
    </row>
    <row r="78" spans="1:15" ht="48" customHeight="1" x14ac:dyDescent="0.25">
      <c r="A78" s="10" t="s">
        <v>138</v>
      </c>
      <c r="B78" s="26" t="s">
        <v>139</v>
      </c>
      <c r="C78" s="10" t="s">
        <v>51</v>
      </c>
      <c r="D78" s="27">
        <v>17.2</v>
      </c>
      <c r="E78" s="27">
        <v>0</v>
      </c>
      <c r="F78" s="27">
        <v>0</v>
      </c>
      <c r="G78" s="27"/>
      <c r="H78" s="42"/>
      <c r="I78" s="41">
        <v>16.8</v>
      </c>
      <c r="J78" s="41">
        <v>0</v>
      </c>
      <c r="K78" s="41">
        <v>16.170000000000002</v>
      </c>
      <c r="L78" s="25"/>
      <c r="M78" s="45">
        <f t="shared" si="6"/>
        <v>16.384856647392127</v>
      </c>
      <c r="N78" s="43" t="s">
        <v>70</v>
      </c>
      <c r="O78" s="18">
        <f t="shared" si="0"/>
        <v>0.97528908615429322</v>
      </c>
    </row>
    <row r="79" spans="1:15" ht="157.5" x14ac:dyDescent="0.25">
      <c r="A79" s="10" t="s">
        <v>140</v>
      </c>
      <c r="B79" s="26" t="s">
        <v>141</v>
      </c>
      <c r="C79" s="10" t="s">
        <v>51</v>
      </c>
      <c r="D79" s="27"/>
      <c r="E79" s="27"/>
      <c r="F79" s="27"/>
      <c r="G79" s="27"/>
      <c r="H79" s="27"/>
      <c r="I79" s="41"/>
      <c r="J79" s="41"/>
      <c r="K79" s="41"/>
      <c r="L79" s="25"/>
      <c r="M79" s="20"/>
      <c r="N79" s="43" t="s">
        <v>68</v>
      </c>
      <c r="O79" s="18" t="str">
        <f t="shared" si="0"/>
        <v>-</v>
      </c>
    </row>
    <row r="80" spans="1:15" ht="31.5" x14ac:dyDescent="0.25">
      <c r="A80" s="10" t="s">
        <v>142</v>
      </c>
      <c r="B80" s="26" t="s">
        <v>143</v>
      </c>
      <c r="C80" s="10" t="s">
        <v>51</v>
      </c>
      <c r="D80" s="27"/>
      <c r="E80" s="27"/>
      <c r="F80" s="27"/>
      <c r="G80" s="27"/>
      <c r="H80" s="27"/>
      <c r="I80" s="41"/>
      <c r="J80" s="41"/>
      <c r="K80" s="41"/>
      <c r="L80" s="25"/>
      <c r="M80" s="20"/>
      <c r="N80" s="43" t="s">
        <v>68</v>
      </c>
      <c r="O80" s="18" t="str">
        <f t="shared" ref="O80:O143" si="7">IF(AND(I80&gt;0, M80&gt;0),M80/I80,"-")</f>
        <v>-</v>
      </c>
    </row>
    <row r="81" spans="1:15" ht="61.5" customHeight="1" x14ac:dyDescent="0.25">
      <c r="A81" s="10" t="s">
        <v>144</v>
      </c>
      <c r="B81" s="26" t="s">
        <v>145</v>
      </c>
      <c r="C81" s="10" t="s">
        <v>51</v>
      </c>
      <c r="D81" s="27">
        <v>127.6</v>
      </c>
      <c r="E81" s="41">
        <f>1.524+1.23+69.575+1.905</f>
        <v>74.234000000000009</v>
      </c>
      <c r="F81" s="41">
        <f>69.575+1.524+1.23+1.905</f>
        <v>74.234000000000009</v>
      </c>
      <c r="G81" s="43" t="s">
        <v>146</v>
      </c>
      <c r="H81" s="42"/>
      <c r="I81" s="41">
        <v>124.2</v>
      </c>
      <c r="J81" s="41">
        <v>75.73</v>
      </c>
      <c r="K81" s="41">
        <v>119.91</v>
      </c>
      <c r="L81" s="25"/>
      <c r="M81" s="20">
        <f t="shared" si="6"/>
        <v>121.13090450036324</v>
      </c>
      <c r="N81" s="43" t="s">
        <v>70</v>
      </c>
      <c r="O81" s="18">
        <f t="shared" si="7"/>
        <v>0.97528908615429344</v>
      </c>
    </row>
    <row r="82" spans="1:15" ht="15" customHeight="1" x14ac:dyDescent="0.25">
      <c r="A82" s="10" t="s">
        <v>147</v>
      </c>
      <c r="B82" s="26" t="s">
        <v>148</v>
      </c>
      <c r="C82" s="19" t="s">
        <v>51</v>
      </c>
      <c r="D82" s="20">
        <f>ROUND(D83,1)+ROUND(D84,1)+ROUND(D92,1)+ROUND(D93,1)+ROUND(D94,1)+ROUND(D95,1)+ROUND(D96,1)</f>
        <v>3691.3</v>
      </c>
      <c r="E82" s="20">
        <f>ROUND(E83,1)+ROUND(E84,1)+ROUND(E92,1)+ROUND(E93,1)+ROUND(E94,1)+ROUND(E95,1)+ROUND(E96,1)</f>
        <v>951.8</v>
      </c>
      <c r="F82" s="20">
        <f>ROUND(F83,1)+ROUND(F84,1)+ROUND(F92,1)+ROUND(F93,1)+ROUND(F94,1)+ROUND(F95,1)+ROUND(F96,1)</f>
        <v>951.8</v>
      </c>
      <c r="G82" s="40" t="s">
        <v>53</v>
      </c>
      <c r="H82" s="20"/>
      <c r="I82" s="45">
        <f>ROUND(I83,1)+ROUND(I84,1)+ROUND(I92,1)+ROUND(I93,1)+ROUND(I94,1)+ROUND(I95,1)+ROUND(I96,1)</f>
        <v>1295.6999999999998</v>
      </c>
      <c r="J82" s="45">
        <f>ROUND(J83,1)+ROUND(J84,1)+ROUND(J92,1)+ROUND(J93,1)+ROUND(J94,1)+ROUND(J95,1)+ROUND(J96,1)</f>
        <v>1087.7</v>
      </c>
      <c r="K82" s="45">
        <f>ROUND(K83,1)+ROUND(K84,1)+ROUND(K92,1)+ROUND(K93,1)+ROUND(K94,1)+ROUND(K95,1)+ROUND(K96,1)</f>
        <v>9341.4</v>
      </c>
      <c r="L82" s="40" t="s">
        <v>53</v>
      </c>
      <c r="M82" s="45">
        <f>ROUND(M83,1)+ROUND(M84,1)+ROUND(M92,1)+ROUND(M93,1)+ROUND(M94,1)+ROUND(M95,1)+ROUND(M96,1)</f>
        <v>8176.5</v>
      </c>
      <c r="N82" s="40" t="s">
        <v>53</v>
      </c>
      <c r="O82" s="18">
        <f t="shared" si="7"/>
        <v>6.3104885390136616</v>
      </c>
    </row>
    <row r="83" spans="1:15" ht="43.5" customHeight="1" x14ac:dyDescent="0.25">
      <c r="A83" s="10" t="s">
        <v>149</v>
      </c>
      <c r="B83" s="26" t="s">
        <v>150</v>
      </c>
      <c r="C83" s="10" t="s">
        <v>51</v>
      </c>
      <c r="D83" s="27"/>
      <c r="E83" s="27"/>
      <c r="F83" s="27"/>
      <c r="G83" s="27"/>
      <c r="H83" s="27"/>
      <c r="I83" s="41"/>
      <c r="J83" s="41"/>
      <c r="K83" s="41"/>
      <c r="L83" s="25"/>
      <c r="M83" s="41"/>
      <c r="N83" s="25"/>
      <c r="O83" s="18" t="str">
        <f t="shared" si="7"/>
        <v>-</v>
      </c>
    </row>
    <row r="84" spans="1:15" ht="39" customHeight="1" x14ac:dyDescent="0.25">
      <c r="A84" s="10" t="s">
        <v>151</v>
      </c>
      <c r="B84" s="26" t="s">
        <v>152</v>
      </c>
      <c r="C84" s="19" t="s">
        <v>51</v>
      </c>
      <c r="D84" s="20">
        <f>ROUND(D85,1)+ROUND(D86,1)+ROUND(D87,1)+ROUND(D88,1)+ROUND(D89,1)+ROUND(D90,1)+ROUND(D91,1)</f>
        <v>474.6</v>
      </c>
      <c r="E84" s="20">
        <f>ROUND(E85,1)+ROUND(E86,1)+ROUND(E87,1)+ROUND(E88,1)+ROUND(E89,1)+ROUND(E90,1)+ROUND(E91,1)</f>
        <v>478.9</v>
      </c>
      <c r="F84" s="20">
        <f>ROUND(F85,1)+ROUND(F86,1)+ROUND(F87,1)+ROUND(F88,1)+ROUND(F89,1)+ROUND(F90,1)+ROUND(F91,1)</f>
        <v>478.9</v>
      </c>
      <c r="G84" s="46" t="s">
        <v>53</v>
      </c>
      <c r="H84" s="20"/>
      <c r="I84" s="45">
        <f>ROUND(I85,1)+ROUND(I86,1)+ROUND(I87,1)+ROUND(I88,1)+ROUND(I89,1)+ROUND(I90,1)+ROUND(I91,1)</f>
        <v>641.80000000000007</v>
      </c>
      <c r="J84" s="45">
        <f>ROUND(J85,1)+ROUND(J86,1)+ROUND(J87,1)+ROUND(J88,1)+ROUND(J89,1)+ROUND(J90,1)+ROUND(J91,1)</f>
        <v>595.90000000000009</v>
      </c>
      <c r="K84" s="45">
        <f>ROUND(K85,1)+ROUND(K86,1)+ROUND(K87,1)+ROUND(K88,1)+ROUND(K89,1)+ROUND(K90,1)+ROUND(K91,1)</f>
        <v>770.5</v>
      </c>
      <c r="L84" s="25" t="s">
        <v>53</v>
      </c>
      <c r="M84" s="45">
        <f>ROUND(M85,1)+ROUND(M86,1)+ROUND(M87,1)+ROUND(M88,1)+ROUND(M89,1)+ROUND(M90,1)+ROUND(M91,1)</f>
        <v>657.7</v>
      </c>
      <c r="N84" s="25" t="s">
        <v>52</v>
      </c>
      <c r="O84" s="18">
        <f t="shared" si="7"/>
        <v>1.0247740729199126</v>
      </c>
    </row>
    <row r="85" spans="1:15" hidden="1" x14ac:dyDescent="0.25">
      <c r="A85" s="10" t="s">
        <v>153</v>
      </c>
      <c r="B85" s="26" t="s">
        <v>154</v>
      </c>
      <c r="C85" s="10" t="s">
        <v>51</v>
      </c>
      <c r="D85" s="27"/>
      <c r="E85" s="27"/>
      <c r="F85" s="27"/>
      <c r="G85" s="42"/>
      <c r="H85" s="27"/>
      <c r="I85" s="41"/>
      <c r="J85" s="41"/>
      <c r="K85" s="41"/>
      <c r="L85" s="25"/>
      <c r="M85" s="41"/>
      <c r="N85" s="25"/>
      <c r="O85" s="18" t="str">
        <f t="shared" si="7"/>
        <v>-</v>
      </c>
    </row>
    <row r="86" spans="1:15" x14ac:dyDescent="0.25">
      <c r="A86" s="10" t="s">
        <v>155</v>
      </c>
      <c r="B86" s="26" t="s">
        <v>156</v>
      </c>
      <c r="C86" s="10" t="s">
        <v>51</v>
      </c>
      <c r="D86" s="27"/>
      <c r="E86" s="27"/>
      <c r="F86" s="27"/>
      <c r="G86" s="42"/>
      <c r="H86" s="27"/>
      <c r="I86" s="41"/>
      <c r="J86" s="41"/>
      <c r="K86" s="41"/>
      <c r="L86" s="25"/>
      <c r="M86" s="41"/>
      <c r="N86" s="25"/>
      <c r="O86" s="18" t="str">
        <f t="shared" si="7"/>
        <v>-</v>
      </c>
    </row>
    <row r="87" spans="1:15" ht="63" customHeight="1" x14ac:dyDescent="0.25">
      <c r="A87" s="10" t="s">
        <v>157</v>
      </c>
      <c r="B87" s="26" t="s">
        <v>158</v>
      </c>
      <c r="C87" s="10" t="s">
        <v>51</v>
      </c>
      <c r="D87" s="27">
        <v>25.3</v>
      </c>
      <c r="E87" s="27">
        <v>0</v>
      </c>
      <c r="F87" s="27">
        <v>0</v>
      </c>
      <c r="G87" s="42"/>
      <c r="H87" s="27"/>
      <c r="I87" s="41">
        <v>26.07</v>
      </c>
      <c r="J87" s="41">
        <v>25.71</v>
      </c>
      <c r="K87" s="41">
        <v>183.94</v>
      </c>
      <c r="L87" s="25" t="s">
        <v>159</v>
      </c>
      <c r="M87" s="41">
        <v>183.94</v>
      </c>
      <c r="N87" s="25" t="s">
        <v>160</v>
      </c>
      <c r="O87" s="18">
        <f t="shared" si="7"/>
        <v>7.0556194859992329</v>
      </c>
    </row>
    <row r="88" spans="1:15" x14ac:dyDescent="0.25">
      <c r="A88" s="10" t="s">
        <v>161</v>
      </c>
      <c r="B88" s="26" t="s">
        <v>162</v>
      </c>
      <c r="C88" s="10" t="s">
        <v>51</v>
      </c>
      <c r="D88" s="27"/>
      <c r="E88" s="27"/>
      <c r="F88" s="27"/>
      <c r="G88" s="42"/>
      <c r="H88" s="27"/>
      <c r="I88" s="41"/>
      <c r="J88" s="41"/>
      <c r="K88" s="41"/>
      <c r="L88" s="25"/>
      <c r="M88" s="27"/>
      <c r="N88" s="25">
        <v>5.0000000000000001E-3</v>
      </c>
      <c r="O88" s="18" t="str">
        <f t="shared" si="7"/>
        <v>-</v>
      </c>
    </row>
    <row r="89" spans="1:15" ht="90" customHeight="1" x14ac:dyDescent="0.25">
      <c r="A89" s="10" t="s">
        <v>163</v>
      </c>
      <c r="B89" s="26" t="s">
        <v>164</v>
      </c>
      <c r="C89" s="10" t="s">
        <v>51</v>
      </c>
      <c r="D89" s="27">
        <v>449.3</v>
      </c>
      <c r="E89" s="41">
        <v>478.94</v>
      </c>
      <c r="F89" s="41">
        <v>478.94</v>
      </c>
      <c r="G89" s="43" t="s">
        <v>165</v>
      </c>
      <c r="H89" s="27"/>
      <c r="I89" s="41">
        <v>615.71</v>
      </c>
      <c r="J89" s="41">
        <v>570.22</v>
      </c>
      <c r="K89" s="41">
        <v>586.64</v>
      </c>
      <c r="L89" s="3" t="s">
        <v>264</v>
      </c>
      <c r="M89" s="27">
        <f>5177*3050.89*0.06/2/1000</f>
        <v>473.83372589999993</v>
      </c>
      <c r="N89" s="25" t="s">
        <v>166</v>
      </c>
      <c r="O89" s="18">
        <f t="shared" si="7"/>
        <v>0.76957289292036823</v>
      </c>
    </row>
    <row r="90" spans="1:15" x14ac:dyDescent="0.25">
      <c r="A90" s="10" t="s">
        <v>167</v>
      </c>
      <c r="B90" s="26" t="s">
        <v>168</v>
      </c>
      <c r="C90" s="10" t="s">
        <v>51</v>
      </c>
      <c r="D90" s="27"/>
      <c r="E90" s="27"/>
      <c r="F90" s="27"/>
      <c r="G90" s="27"/>
      <c r="H90" s="27"/>
      <c r="I90" s="41"/>
      <c r="J90" s="41"/>
      <c r="K90" s="41"/>
      <c r="L90" s="25"/>
      <c r="M90" s="27"/>
      <c r="N90" s="25"/>
      <c r="O90" s="18" t="str">
        <f t="shared" si="7"/>
        <v>-</v>
      </c>
    </row>
    <row r="91" spans="1:15" ht="47.25" x14ac:dyDescent="0.25">
      <c r="A91" s="10" t="s">
        <v>169</v>
      </c>
      <c r="B91" s="26" t="s">
        <v>170</v>
      </c>
      <c r="C91" s="10" t="s">
        <v>51</v>
      </c>
      <c r="D91" s="27"/>
      <c r="E91" s="27"/>
      <c r="F91" s="27"/>
      <c r="G91" s="27"/>
      <c r="H91" s="27"/>
      <c r="I91" s="41"/>
      <c r="J91" s="41"/>
      <c r="K91" s="41"/>
      <c r="L91" s="25"/>
      <c r="M91" s="27"/>
      <c r="N91" s="25"/>
      <c r="O91" s="18" t="str">
        <f t="shared" si="7"/>
        <v>-</v>
      </c>
    </row>
    <row r="92" spans="1:15" ht="101.25" customHeight="1" x14ac:dyDescent="0.25">
      <c r="A92" s="10" t="s">
        <v>171</v>
      </c>
      <c r="B92" s="26" t="s">
        <v>172</v>
      </c>
      <c r="C92" s="10" t="s">
        <v>51</v>
      </c>
      <c r="D92" s="27"/>
      <c r="E92" s="27"/>
      <c r="F92" s="27"/>
      <c r="G92" s="27"/>
      <c r="H92" s="27"/>
      <c r="I92" s="41"/>
      <c r="J92" s="41"/>
      <c r="K92" s="41"/>
      <c r="L92" s="25"/>
      <c r="M92" s="27"/>
      <c r="N92" s="25"/>
      <c r="O92" s="18" t="str">
        <f t="shared" si="7"/>
        <v>-</v>
      </c>
    </row>
    <row r="93" spans="1:15" ht="15" customHeight="1" x14ac:dyDescent="0.25">
      <c r="A93" s="10" t="s">
        <v>173</v>
      </c>
      <c r="B93" s="26" t="s">
        <v>174</v>
      </c>
      <c r="C93" s="10" t="s">
        <v>51</v>
      </c>
      <c r="D93" s="27"/>
      <c r="E93" s="27"/>
      <c r="F93" s="27"/>
      <c r="G93" s="27"/>
      <c r="H93" s="27"/>
      <c r="I93" s="41"/>
      <c r="J93" s="41"/>
      <c r="K93" s="41"/>
      <c r="L93" s="25"/>
      <c r="M93" s="27"/>
      <c r="N93" s="25"/>
      <c r="O93" s="18" t="str">
        <f t="shared" si="7"/>
        <v>-</v>
      </c>
    </row>
    <row r="94" spans="1:15" ht="242.25" customHeight="1" x14ac:dyDescent="0.25">
      <c r="A94" s="10" t="s">
        <v>175</v>
      </c>
      <c r="B94" s="26" t="s">
        <v>176</v>
      </c>
      <c r="C94" s="10" t="s">
        <v>51</v>
      </c>
      <c r="D94" s="27">
        <v>2503.9</v>
      </c>
      <c r="E94" s="27"/>
      <c r="F94" s="27"/>
      <c r="G94" s="42"/>
      <c r="H94" s="27"/>
      <c r="I94" s="41"/>
      <c r="J94" s="41"/>
      <c r="K94" s="41">
        <v>7962.02</v>
      </c>
      <c r="L94" s="25" t="s">
        <v>177</v>
      </c>
      <c r="M94" s="27">
        <v>6934.8</v>
      </c>
      <c r="N94" s="25" t="s">
        <v>178</v>
      </c>
      <c r="O94" s="18" t="str">
        <f t="shared" si="7"/>
        <v>-</v>
      </c>
    </row>
    <row r="95" spans="1:15" ht="47.25" customHeight="1" x14ac:dyDescent="0.25">
      <c r="A95" s="10" t="s">
        <v>179</v>
      </c>
      <c r="B95" s="26" t="s">
        <v>180</v>
      </c>
      <c r="C95" s="10" t="s">
        <v>51</v>
      </c>
      <c r="D95" s="27"/>
      <c r="E95" s="27"/>
      <c r="F95" s="27"/>
      <c r="G95" s="27"/>
      <c r="H95" s="27"/>
      <c r="I95" s="41"/>
      <c r="J95" s="41"/>
      <c r="K95" s="41"/>
      <c r="L95" s="25"/>
      <c r="M95" s="27"/>
      <c r="N95" s="25"/>
      <c r="O95" s="18" t="str">
        <f t="shared" si="7"/>
        <v>-</v>
      </c>
    </row>
    <row r="96" spans="1:15" ht="86.25" customHeight="1" x14ac:dyDescent="0.25">
      <c r="A96" s="10" t="s">
        <v>181</v>
      </c>
      <c r="B96" s="26" t="s">
        <v>182</v>
      </c>
      <c r="C96" s="10" t="s">
        <v>51</v>
      </c>
      <c r="D96" s="27">
        <v>712.8</v>
      </c>
      <c r="E96" s="41">
        <v>472.89</v>
      </c>
      <c r="F96" s="41">
        <v>472.89</v>
      </c>
      <c r="G96" s="51" t="s">
        <v>183</v>
      </c>
      <c r="H96" s="27"/>
      <c r="I96" s="41">
        <v>653.9</v>
      </c>
      <c r="J96" s="41">
        <v>491.84</v>
      </c>
      <c r="K96" s="41">
        <v>608.9</v>
      </c>
      <c r="L96" s="25"/>
      <c r="M96" s="27">
        <f>6409*0.95*95/1000+6409*0.05*17.3/1000</f>
        <v>583.95603499999982</v>
      </c>
      <c r="N96" s="25" t="s">
        <v>263</v>
      </c>
      <c r="O96" s="18">
        <f t="shared" si="7"/>
        <v>0.89303568588469162</v>
      </c>
    </row>
    <row r="97" spans="1:15" ht="30" customHeight="1" x14ac:dyDescent="0.25">
      <c r="A97" s="36" t="s">
        <v>184</v>
      </c>
      <c r="B97" s="26" t="s">
        <v>185</v>
      </c>
      <c r="C97" s="19" t="s">
        <v>51</v>
      </c>
      <c r="D97" s="20">
        <f>ROUND(D98,1)+ROUND(D110,1)+ROUND(D123,1)+ROUND(D126,1)+ROUND(D129,1)+ROUND(D132,1)+ROUND(D135,1)+ROUND(D136,1)</f>
        <v>0</v>
      </c>
      <c r="E97" s="20">
        <f>ROUND(E98,1)+ROUND(E110,1)+ROUND(E123,1)+ROUND(E126,1)+ROUND(E129,1)+ROUND(E132,1)+ROUND(E135,1)+ROUND(E136,1)</f>
        <v>0</v>
      </c>
      <c r="F97" s="20">
        <f>ROUND(F98,1)+ROUND(F110,1)+ROUND(F123,1)+ROUND(F126,1)+ROUND(F129,1)+ROUND(F132,1)+ROUND(F135,1)+ROUND(F136,1)</f>
        <v>0</v>
      </c>
      <c r="G97" s="20"/>
      <c r="H97" s="20"/>
      <c r="I97" s="45">
        <f>ROUND(I98,1)+ROUND(I110,1)+ROUND(I123,1)+ROUND(I126,1)+ROUND(I129,1)+ROUND(I132,1)+ROUND(I135,1)+ROUND(I136,1)</f>
        <v>0</v>
      </c>
      <c r="J97" s="45">
        <f>ROUND(J98,1)+ROUND(J110,1)+ROUND(J123,1)+ROUND(J126,1)+ROUND(J129,1)+ROUND(J132,1)+ROUND(J135,1)+ROUND(J136,1)</f>
        <v>0</v>
      </c>
      <c r="K97" s="45">
        <f>ROUND(K98,1)+ROUND(K110,1)+ROUND(K123,1)+ROUND(K126,1)+ROUND(K129,1)+ROUND(K132,1)+ROUND(K135,1)+ROUND(K136,1)</f>
        <v>0</v>
      </c>
      <c r="L97" s="25"/>
      <c r="M97" s="20">
        <f>ROUND(M98,1)+ROUND(M110,1)+ROUND(M123,1)+ROUND(M126,1)+ROUND(M129,1)+ROUND(M132,1)+ROUND(M135,1)+ROUND(M136,1)</f>
        <v>0</v>
      </c>
      <c r="N97" s="25"/>
      <c r="O97" s="18" t="str">
        <f t="shared" si="7"/>
        <v>-</v>
      </c>
    </row>
    <row r="98" spans="1:15" ht="40.5" customHeight="1" x14ac:dyDescent="0.25">
      <c r="A98" s="10" t="s">
        <v>186</v>
      </c>
      <c r="B98" s="26" t="s">
        <v>187</v>
      </c>
      <c r="C98" s="10" t="s">
        <v>51</v>
      </c>
      <c r="D98" s="27"/>
      <c r="E98" s="27"/>
      <c r="F98" s="27"/>
      <c r="G98" s="27"/>
      <c r="H98" s="27"/>
      <c r="I98" s="41"/>
      <c r="J98" s="41"/>
      <c r="K98" s="41"/>
      <c r="L98" s="25"/>
      <c r="M98" s="27"/>
      <c r="N98" s="25"/>
      <c r="O98" s="18" t="str">
        <f t="shared" si="7"/>
        <v>-</v>
      </c>
    </row>
    <row r="99" spans="1:15" ht="96" hidden="1" customHeight="1" x14ac:dyDescent="0.25">
      <c r="A99" s="10"/>
      <c r="B99" s="26" t="s">
        <v>188</v>
      </c>
      <c r="C99" s="10" t="s">
        <v>189</v>
      </c>
      <c r="D99" s="27"/>
      <c r="E99" s="27"/>
      <c r="F99" s="27"/>
      <c r="G99" s="27"/>
      <c r="H99" s="27"/>
      <c r="I99" s="41"/>
      <c r="J99" s="41"/>
      <c r="K99" s="41"/>
      <c r="L99" s="25"/>
      <c r="M99" s="27"/>
      <c r="N99" s="25"/>
      <c r="O99" s="18" t="str">
        <f t="shared" si="7"/>
        <v>-</v>
      </c>
    </row>
    <row r="100" spans="1:15" ht="96" hidden="1" customHeight="1" x14ac:dyDescent="0.25">
      <c r="A100" s="10"/>
      <c r="B100" s="26" t="s">
        <v>190</v>
      </c>
      <c r="C100" s="10" t="s">
        <v>189</v>
      </c>
      <c r="D100" s="27"/>
      <c r="E100" s="27"/>
      <c r="F100" s="27"/>
      <c r="G100" s="27"/>
      <c r="H100" s="27"/>
      <c r="I100" s="41"/>
      <c r="J100" s="41"/>
      <c r="K100" s="41"/>
      <c r="L100" s="25"/>
      <c r="M100" s="27"/>
      <c r="N100" s="25"/>
      <c r="O100" s="18" t="str">
        <f t="shared" si="7"/>
        <v>-</v>
      </c>
    </row>
    <row r="101" spans="1:15" ht="96" hidden="1" customHeight="1" x14ac:dyDescent="0.25">
      <c r="A101" s="10"/>
      <c r="B101" s="26" t="s">
        <v>191</v>
      </c>
      <c r="C101" s="10" t="s">
        <v>189</v>
      </c>
      <c r="D101" s="27"/>
      <c r="E101" s="27"/>
      <c r="F101" s="27"/>
      <c r="G101" s="27"/>
      <c r="H101" s="27"/>
      <c r="I101" s="41"/>
      <c r="J101" s="41"/>
      <c r="K101" s="41"/>
      <c r="L101" s="25"/>
      <c r="M101" s="27"/>
      <c r="N101" s="25"/>
      <c r="O101" s="18" t="str">
        <f t="shared" si="7"/>
        <v>-</v>
      </c>
    </row>
    <row r="102" spans="1:15" ht="96" hidden="1" customHeight="1" x14ac:dyDescent="0.25">
      <c r="A102" s="10"/>
      <c r="B102" s="26" t="s">
        <v>192</v>
      </c>
      <c r="C102" s="10" t="s">
        <v>189</v>
      </c>
      <c r="D102" s="27"/>
      <c r="E102" s="27"/>
      <c r="F102" s="27"/>
      <c r="G102" s="27"/>
      <c r="H102" s="27"/>
      <c r="I102" s="41"/>
      <c r="J102" s="41"/>
      <c r="K102" s="41"/>
      <c r="L102" s="25"/>
      <c r="M102" s="27"/>
      <c r="N102" s="25"/>
      <c r="O102" s="18" t="str">
        <f t="shared" si="7"/>
        <v>-</v>
      </c>
    </row>
    <row r="103" spans="1:15" ht="96" hidden="1" customHeight="1" x14ac:dyDescent="0.25">
      <c r="A103" s="10"/>
      <c r="B103" s="26" t="s">
        <v>193</v>
      </c>
      <c r="C103" s="10" t="s">
        <v>189</v>
      </c>
      <c r="D103" s="27"/>
      <c r="E103" s="27"/>
      <c r="F103" s="27"/>
      <c r="G103" s="27"/>
      <c r="H103" s="27"/>
      <c r="I103" s="41"/>
      <c r="J103" s="41"/>
      <c r="K103" s="41"/>
      <c r="L103" s="25"/>
      <c r="M103" s="27"/>
      <c r="N103" s="25"/>
      <c r="O103" s="18" t="str">
        <f t="shared" si="7"/>
        <v>-</v>
      </c>
    </row>
    <row r="104" spans="1:15" ht="96" hidden="1" customHeight="1" x14ac:dyDescent="0.25">
      <c r="A104" s="10"/>
      <c r="B104" s="26" t="s">
        <v>194</v>
      </c>
      <c r="C104" s="10"/>
      <c r="D104" s="27"/>
      <c r="E104" s="27"/>
      <c r="F104" s="27"/>
      <c r="G104" s="27"/>
      <c r="H104" s="27"/>
      <c r="I104" s="41"/>
      <c r="J104" s="41"/>
      <c r="K104" s="41"/>
      <c r="L104" s="25"/>
      <c r="M104" s="27"/>
      <c r="N104" s="25"/>
      <c r="O104" s="18" t="str">
        <f t="shared" si="7"/>
        <v>-</v>
      </c>
    </row>
    <row r="105" spans="1:15" ht="96" hidden="1" customHeight="1" x14ac:dyDescent="0.25">
      <c r="A105" s="10"/>
      <c r="B105" s="26" t="s">
        <v>195</v>
      </c>
      <c r="C105" s="10"/>
      <c r="D105" s="27"/>
      <c r="E105" s="27"/>
      <c r="F105" s="27"/>
      <c r="G105" s="27"/>
      <c r="H105" s="27"/>
      <c r="I105" s="41"/>
      <c r="J105" s="41"/>
      <c r="K105" s="41"/>
      <c r="L105" s="25"/>
      <c r="M105" s="27"/>
      <c r="N105" s="25"/>
      <c r="O105" s="18" t="str">
        <f t="shared" si="7"/>
        <v>-</v>
      </c>
    </row>
    <row r="106" spans="1:15" ht="96" hidden="1" customHeight="1" x14ac:dyDescent="0.25">
      <c r="A106" s="10"/>
      <c r="B106" s="26" t="s">
        <v>190</v>
      </c>
      <c r="C106" s="10" t="s">
        <v>196</v>
      </c>
      <c r="D106" s="27"/>
      <c r="E106" s="27"/>
      <c r="F106" s="27"/>
      <c r="G106" s="27"/>
      <c r="H106" s="27"/>
      <c r="I106" s="41"/>
      <c r="J106" s="41"/>
      <c r="K106" s="41"/>
      <c r="L106" s="25"/>
      <c r="M106" s="27"/>
      <c r="N106" s="25"/>
      <c r="O106" s="18" t="str">
        <f t="shared" si="7"/>
        <v>-</v>
      </c>
    </row>
    <row r="107" spans="1:15" ht="96" hidden="1" customHeight="1" x14ac:dyDescent="0.25">
      <c r="A107" s="10"/>
      <c r="B107" s="26" t="s">
        <v>191</v>
      </c>
      <c r="C107" s="10" t="s">
        <v>196</v>
      </c>
      <c r="D107" s="27"/>
      <c r="E107" s="27"/>
      <c r="F107" s="27"/>
      <c r="G107" s="27"/>
      <c r="H107" s="27"/>
      <c r="I107" s="41"/>
      <c r="J107" s="41"/>
      <c r="K107" s="41"/>
      <c r="L107" s="25"/>
      <c r="M107" s="27"/>
      <c r="N107" s="25"/>
      <c r="O107" s="18" t="str">
        <f t="shared" si="7"/>
        <v>-</v>
      </c>
    </row>
    <row r="108" spans="1:15" ht="96" hidden="1" customHeight="1" x14ac:dyDescent="0.25">
      <c r="A108" s="10"/>
      <c r="B108" s="26" t="s">
        <v>192</v>
      </c>
      <c r="C108" s="10" t="s">
        <v>196</v>
      </c>
      <c r="D108" s="27"/>
      <c r="E108" s="27"/>
      <c r="F108" s="27"/>
      <c r="G108" s="27"/>
      <c r="H108" s="27"/>
      <c r="I108" s="41"/>
      <c r="J108" s="41"/>
      <c r="K108" s="41"/>
      <c r="L108" s="25"/>
      <c r="M108" s="27"/>
      <c r="N108" s="25"/>
      <c r="O108" s="18" t="str">
        <f t="shared" si="7"/>
        <v>-</v>
      </c>
    </row>
    <row r="109" spans="1:15" ht="96" hidden="1" customHeight="1" x14ac:dyDescent="0.25">
      <c r="A109" s="10"/>
      <c r="B109" s="26" t="s">
        <v>193</v>
      </c>
      <c r="C109" s="10" t="s">
        <v>196</v>
      </c>
      <c r="D109" s="27"/>
      <c r="E109" s="27"/>
      <c r="F109" s="27"/>
      <c r="G109" s="27"/>
      <c r="H109" s="27"/>
      <c r="I109" s="41"/>
      <c r="J109" s="41"/>
      <c r="K109" s="41"/>
      <c r="L109" s="25"/>
      <c r="M109" s="27"/>
      <c r="N109" s="25"/>
      <c r="O109" s="18" t="str">
        <f t="shared" si="7"/>
        <v>-</v>
      </c>
    </row>
    <row r="110" spans="1:15" ht="96" hidden="1" customHeight="1" x14ac:dyDescent="0.25">
      <c r="A110" s="10" t="s">
        <v>197</v>
      </c>
      <c r="B110" s="26" t="s">
        <v>198</v>
      </c>
      <c r="C110" s="10" t="s">
        <v>51</v>
      </c>
      <c r="D110" s="27"/>
      <c r="E110" s="27"/>
      <c r="F110" s="27"/>
      <c r="G110" s="27"/>
      <c r="H110" s="27"/>
      <c r="I110" s="41"/>
      <c r="J110" s="41"/>
      <c r="K110" s="41"/>
      <c r="L110" s="25"/>
      <c r="M110" s="27"/>
      <c r="N110" s="25"/>
      <c r="O110" s="18" t="str">
        <f t="shared" si="7"/>
        <v>-</v>
      </c>
    </row>
    <row r="111" spans="1:15" ht="96" hidden="1" customHeight="1" x14ac:dyDescent="0.25">
      <c r="A111" s="10"/>
      <c r="B111" s="26" t="s">
        <v>199</v>
      </c>
      <c r="C111" s="10"/>
      <c r="D111" s="27"/>
      <c r="E111" s="27"/>
      <c r="F111" s="27"/>
      <c r="G111" s="27"/>
      <c r="H111" s="27"/>
      <c r="I111" s="41"/>
      <c r="J111" s="41"/>
      <c r="K111" s="41"/>
      <c r="L111" s="25"/>
      <c r="M111" s="27"/>
      <c r="N111" s="25"/>
      <c r="O111" s="18" t="str">
        <f t="shared" si="7"/>
        <v>-</v>
      </c>
    </row>
    <row r="112" spans="1:15" ht="96" hidden="1" customHeight="1" x14ac:dyDescent="0.25">
      <c r="A112" s="10"/>
      <c r="B112" s="26" t="s">
        <v>190</v>
      </c>
      <c r="C112" s="10" t="s">
        <v>200</v>
      </c>
      <c r="D112" s="27"/>
      <c r="E112" s="27"/>
      <c r="F112" s="27"/>
      <c r="G112" s="27"/>
      <c r="H112" s="27"/>
      <c r="I112" s="41"/>
      <c r="J112" s="41"/>
      <c r="K112" s="41"/>
      <c r="L112" s="25"/>
      <c r="M112" s="27"/>
      <c r="N112" s="25"/>
      <c r="O112" s="18" t="str">
        <f t="shared" si="7"/>
        <v>-</v>
      </c>
    </row>
    <row r="113" spans="1:15" ht="96" hidden="1" customHeight="1" x14ac:dyDescent="0.25">
      <c r="A113" s="10"/>
      <c r="B113" s="26" t="s">
        <v>191</v>
      </c>
      <c r="C113" s="10" t="s">
        <v>200</v>
      </c>
      <c r="D113" s="27"/>
      <c r="E113" s="27"/>
      <c r="F113" s="27"/>
      <c r="G113" s="27"/>
      <c r="H113" s="27"/>
      <c r="I113" s="41"/>
      <c r="J113" s="41"/>
      <c r="K113" s="41"/>
      <c r="L113" s="25"/>
      <c r="M113" s="27"/>
      <c r="N113" s="25"/>
      <c r="O113" s="18" t="str">
        <f t="shared" si="7"/>
        <v>-</v>
      </c>
    </row>
    <row r="114" spans="1:15" ht="96" hidden="1" customHeight="1" x14ac:dyDescent="0.25">
      <c r="A114" s="10"/>
      <c r="B114" s="26" t="s">
        <v>192</v>
      </c>
      <c r="C114" s="10" t="s">
        <v>200</v>
      </c>
      <c r="D114" s="27"/>
      <c r="E114" s="27"/>
      <c r="F114" s="27"/>
      <c r="G114" s="27"/>
      <c r="H114" s="27"/>
      <c r="I114" s="41"/>
      <c r="J114" s="41"/>
      <c r="K114" s="41"/>
      <c r="L114" s="25"/>
      <c r="M114" s="27"/>
      <c r="N114" s="25"/>
      <c r="O114" s="18" t="str">
        <f t="shared" si="7"/>
        <v>-</v>
      </c>
    </row>
    <row r="115" spans="1:15" ht="96" hidden="1" customHeight="1" x14ac:dyDescent="0.25">
      <c r="A115" s="10"/>
      <c r="B115" s="26" t="s">
        <v>193</v>
      </c>
      <c r="C115" s="10" t="s">
        <v>200</v>
      </c>
      <c r="D115" s="27"/>
      <c r="E115" s="27"/>
      <c r="F115" s="27"/>
      <c r="G115" s="27"/>
      <c r="H115" s="27"/>
      <c r="I115" s="41"/>
      <c r="J115" s="41"/>
      <c r="K115" s="41"/>
      <c r="L115" s="25"/>
      <c r="M115" s="27"/>
      <c r="N115" s="25"/>
      <c r="O115" s="18" t="str">
        <f t="shared" si="7"/>
        <v>-</v>
      </c>
    </row>
    <row r="116" spans="1:15" ht="96" hidden="1" customHeight="1" x14ac:dyDescent="0.25">
      <c r="A116" s="10"/>
      <c r="B116" s="26" t="s">
        <v>194</v>
      </c>
      <c r="C116" s="10" t="s">
        <v>200</v>
      </c>
      <c r="D116" s="27"/>
      <c r="E116" s="27"/>
      <c r="F116" s="27"/>
      <c r="G116" s="27"/>
      <c r="H116" s="27"/>
      <c r="I116" s="41"/>
      <c r="J116" s="41"/>
      <c r="K116" s="41"/>
      <c r="L116" s="25"/>
      <c r="M116" s="27"/>
      <c r="N116" s="25"/>
      <c r="O116" s="18" t="str">
        <f t="shared" si="7"/>
        <v>-</v>
      </c>
    </row>
    <row r="117" spans="1:15" ht="96" hidden="1" customHeight="1" x14ac:dyDescent="0.25">
      <c r="A117" s="10"/>
      <c r="B117" s="26" t="s">
        <v>201</v>
      </c>
      <c r="C117" s="9"/>
      <c r="D117" s="27"/>
      <c r="E117" s="27"/>
      <c r="F117" s="27"/>
      <c r="G117" s="27"/>
      <c r="H117" s="27"/>
      <c r="I117" s="41"/>
      <c r="J117" s="41"/>
      <c r="K117" s="41"/>
      <c r="L117" s="25"/>
      <c r="M117" s="27"/>
      <c r="N117" s="25"/>
      <c r="O117" s="18" t="str">
        <f t="shared" si="7"/>
        <v>-</v>
      </c>
    </row>
    <row r="118" spans="1:15" ht="96" hidden="1" customHeight="1" x14ac:dyDescent="0.25">
      <c r="A118" s="10"/>
      <c r="B118" s="26" t="s">
        <v>190</v>
      </c>
      <c r="C118" s="9" t="s">
        <v>202</v>
      </c>
      <c r="D118" s="27"/>
      <c r="E118" s="27"/>
      <c r="F118" s="27"/>
      <c r="G118" s="27"/>
      <c r="H118" s="27"/>
      <c r="I118" s="41"/>
      <c r="J118" s="41"/>
      <c r="K118" s="41"/>
      <c r="L118" s="25"/>
      <c r="M118" s="27"/>
      <c r="N118" s="25"/>
      <c r="O118" s="18" t="str">
        <f t="shared" si="7"/>
        <v>-</v>
      </c>
    </row>
    <row r="119" spans="1:15" ht="96" hidden="1" customHeight="1" x14ac:dyDescent="0.25">
      <c r="A119" s="10"/>
      <c r="B119" s="26" t="s">
        <v>191</v>
      </c>
      <c r="C119" s="9" t="s">
        <v>202</v>
      </c>
      <c r="D119" s="27"/>
      <c r="E119" s="27"/>
      <c r="F119" s="27"/>
      <c r="G119" s="27"/>
      <c r="H119" s="27"/>
      <c r="I119" s="41"/>
      <c r="J119" s="41"/>
      <c r="K119" s="41"/>
      <c r="L119" s="25"/>
      <c r="M119" s="27"/>
      <c r="N119" s="25"/>
      <c r="O119" s="18" t="str">
        <f t="shared" si="7"/>
        <v>-</v>
      </c>
    </row>
    <row r="120" spans="1:15" ht="96" hidden="1" customHeight="1" x14ac:dyDescent="0.25">
      <c r="A120" s="10"/>
      <c r="B120" s="26" t="s">
        <v>192</v>
      </c>
      <c r="C120" s="9" t="s">
        <v>202</v>
      </c>
      <c r="D120" s="27"/>
      <c r="E120" s="27"/>
      <c r="F120" s="27"/>
      <c r="G120" s="27"/>
      <c r="H120" s="27"/>
      <c r="I120" s="41"/>
      <c r="J120" s="41"/>
      <c r="K120" s="41"/>
      <c r="L120" s="25"/>
      <c r="M120" s="27"/>
      <c r="N120" s="25"/>
      <c r="O120" s="18" t="str">
        <f t="shared" si="7"/>
        <v>-</v>
      </c>
    </row>
    <row r="121" spans="1:15" ht="96" hidden="1" customHeight="1" x14ac:dyDescent="0.25">
      <c r="A121" s="10"/>
      <c r="B121" s="26" t="s">
        <v>193</v>
      </c>
      <c r="C121" s="9" t="s">
        <v>202</v>
      </c>
      <c r="D121" s="27"/>
      <c r="E121" s="27"/>
      <c r="F121" s="27"/>
      <c r="G121" s="27"/>
      <c r="H121" s="27"/>
      <c r="I121" s="41"/>
      <c r="J121" s="41"/>
      <c r="K121" s="41"/>
      <c r="L121" s="25"/>
      <c r="M121" s="27"/>
      <c r="N121" s="25"/>
      <c r="O121" s="18" t="str">
        <f t="shared" si="7"/>
        <v>-</v>
      </c>
    </row>
    <row r="122" spans="1:15" ht="96" hidden="1" customHeight="1" x14ac:dyDescent="0.25">
      <c r="A122" s="10"/>
      <c r="B122" s="26" t="s">
        <v>194</v>
      </c>
      <c r="C122" s="9" t="s">
        <v>202</v>
      </c>
      <c r="D122" s="27"/>
      <c r="E122" s="27"/>
      <c r="F122" s="27"/>
      <c r="G122" s="27"/>
      <c r="H122" s="27"/>
      <c r="I122" s="41"/>
      <c r="J122" s="41"/>
      <c r="K122" s="41"/>
      <c r="L122" s="25"/>
      <c r="M122" s="27"/>
      <c r="N122" s="25"/>
      <c r="O122" s="18" t="str">
        <f t="shared" si="7"/>
        <v>-</v>
      </c>
    </row>
    <row r="123" spans="1:15" hidden="1" x14ac:dyDescent="0.25">
      <c r="A123" s="10" t="s">
        <v>203</v>
      </c>
      <c r="B123" s="26" t="s">
        <v>204</v>
      </c>
      <c r="C123" s="10" t="s">
        <v>51</v>
      </c>
      <c r="D123" s="27"/>
      <c r="E123" s="27"/>
      <c r="F123" s="27"/>
      <c r="G123" s="27"/>
      <c r="H123" s="27"/>
      <c r="I123" s="41"/>
      <c r="J123" s="41"/>
      <c r="K123" s="41"/>
      <c r="L123" s="53"/>
      <c r="M123" s="27"/>
      <c r="N123" s="25"/>
      <c r="O123" s="18" t="str">
        <f t="shared" si="7"/>
        <v>-</v>
      </c>
    </row>
    <row r="124" spans="1:15" ht="96" hidden="1" customHeight="1" x14ac:dyDescent="0.25">
      <c r="A124" s="10"/>
      <c r="B124" s="26" t="s">
        <v>205</v>
      </c>
      <c r="C124" s="10" t="s">
        <v>206</v>
      </c>
      <c r="D124" s="27"/>
      <c r="E124" s="27"/>
      <c r="F124" s="27"/>
      <c r="G124" s="27"/>
      <c r="H124" s="27"/>
      <c r="I124" s="41"/>
      <c r="J124" s="41"/>
      <c r="K124" s="41"/>
      <c r="L124" s="53"/>
      <c r="M124" s="27"/>
      <c r="N124" s="25"/>
      <c r="O124" s="18" t="str">
        <f t="shared" si="7"/>
        <v>-</v>
      </c>
    </row>
    <row r="125" spans="1:15" ht="96" hidden="1" customHeight="1" x14ac:dyDescent="0.25">
      <c r="A125" s="10"/>
      <c r="B125" s="26" t="s">
        <v>207</v>
      </c>
      <c r="C125" s="10" t="s">
        <v>208</v>
      </c>
      <c r="D125" s="27"/>
      <c r="E125" s="27"/>
      <c r="F125" s="27"/>
      <c r="G125" s="27"/>
      <c r="H125" s="27"/>
      <c r="I125" s="41"/>
      <c r="J125" s="41"/>
      <c r="K125" s="41"/>
      <c r="L125" s="53"/>
      <c r="M125" s="27"/>
      <c r="N125" s="25"/>
      <c r="O125" s="18" t="str">
        <f t="shared" si="7"/>
        <v>-</v>
      </c>
    </row>
    <row r="126" spans="1:15" hidden="1" x14ac:dyDescent="0.25">
      <c r="A126" s="10" t="s">
        <v>209</v>
      </c>
      <c r="B126" s="26" t="s">
        <v>210</v>
      </c>
      <c r="C126" s="10" t="s">
        <v>51</v>
      </c>
      <c r="D126" s="27"/>
      <c r="E126" s="27"/>
      <c r="F126" s="27"/>
      <c r="G126" s="27"/>
      <c r="H126" s="27"/>
      <c r="I126" s="41"/>
      <c r="J126" s="41"/>
      <c r="K126" s="41"/>
      <c r="L126" s="53"/>
      <c r="M126" s="27"/>
      <c r="N126" s="25"/>
      <c r="O126" s="18" t="str">
        <f t="shared" si="7"/>
        <v>-</v>
      </c>
    </row>
    <row r="127" spans="1:15" ht="96" hidden="1" customHeight="1" x14ac:dyDescent="0.25">
      <c r="A127" s="10"/>
      <c r="B127" s="26" t="s">
        <v>211</v>
      </c>
      <c r="C127" s="19" t="s">
        <v>212</v>
      </c>
      <c r="D127" s="27"/>
      <c r="E127" s="27"/>
      <c r="F127" s="27"/>
      <c r="G127" s="27"/>
      <c r="H127" s="27"/>
      <c r="I127" s="41"/>
      <c r="J127" s="41"/>
      <c r="K127" s="41"/>
      <c r="L127" s="53"/>
      <c r="M127" s="27"/>
      <c r="N127" s="25"/>
      <c r="O127" s="18" t="str">
        <f t="shared" si="7"/>
        <v>-</v>
      </c>
    </row>
    <row r="128" spans="1:15" ht="96" hidden="1" customHeight="1" x14ac:dyDescent="0.25">
      <c r="A128" s="10"/>
      <c r="B128" s="26" t="s">
        <v>213</v>
      </c>
      <c r="C128" s="10" t="s">
        <v>214</v>
      </c>
      <c r="D128" s="27"/>
      <c r="E128" s="27"/>
      <c r="F128" s="27"/>
      <c r="G128" s="27"/>
      <c r="H128" s="27"/>
      <c r="I128" s="41"/>
      <c r="J128" s="41"/>
      <c r="K128" s="41"/>
      <c r="L128" s="53"/>
      <c r="M128" s="27"/>
      <c r="N128" s="25"/>
      <c r="O128" s="18" t="str">
        <f t="shared" si="7"/>
        <v>-</v>
      </c>
    </row>
    <row r="129" spans="1:15" hidden="1" x14ac:dyDescent="0.25">
      <c r="A129" s="10" t="s">
        <v>215</v>
      </c>
      <c r="B129" s="26" t="s">
        <v>216</v>
      </c>
      <c r="C129" s="10" t="s">
        <v>51</v>
      </c>
      <c r="D129" s="27"/>
      <c r="E129" s="27"/>
      <c r="F129" s="27"/>
      <c r="G129" s="27"/>
      <c r="H129" s="27"/>
      <c r="I129" s="41"/>
      <c r="J129" s="41"/>
      <c r="K129" s="41"/>
      <c r="L129" s="53"/>
      <c r="M129" s="27"/>
      <c r="N129" s="25"/>
      <c r="O129" s="18" t="str">
        <f t="shared" si="7"/>
        <v>-</v>
      </c>
    </row>
    <row r="130" spans="1:15" ht="96" hidden="1" customHeight="1" x14ac:dyDescent="0.25">
      <c r="A130" s="10"/>
      <c r="B130" s="26" t="s">
        <v>217</v>
      </c>
      <c r="C130" s="19" t="s">
        <v>212</v>
      </c>
      <c r="D130" s="27"/>
      <c r="E130" s="27"/>
      <c r="F130" s="27"/>
      <c r="G130" s="27"/>
      <c r="H130" s="27"/>
      <c r="I130" s="41"/>
      <c r="J130" s="41"/>
      <c r="K130" s="41"/>
      <c r="L130" s="53"/>
      <c r="M130" s="27"/>
      <c r="N130" s="25"/>
      <c r="O130" s="18" t="str">
        <f t="shared" si="7"/>
        <v>-</v>
      </c>
    </row>
    <row r="131" spans="1:15" ht="96" hidden="1" customHeight="1" x14ac:dyDescent="0.25">
      <c r="A131" s="10"/>
      <c r="B131" s="26" t="s">
        <v>218</v>
      </c>
      <c r="C131" s="10" t="s">
        <v>214</v>
      </c>
      <c r="D131" s="27"/>
      <c r="E131" s="27"/>
      <c r="F131" s="27"/>
      <c r="G131" s="27"/>
      <c r="H131" s="27"/>
      <c r="I131" s="41"/>
      <c r="J131" s="41"/>
      <c r="K131" s="41"/>
      <c r="L131" s="53"/>
      <c r="M131" s="27"/>
      <c r="N131" s="25"/>
      <c r="O131" s="18" t="str">
        <f t="shared" si="7"/>
        <v>-</v>
      </c>
    </row>
    <row r="132" spans="1:15" hidden="1" x14ac:dyDescent="0.25">
      <c r="A132" s="10" t="s">
        <v>219</v>
      </c>
      <c r="B132" s="26" t="s">
        <v>220</v>
      </c>
      <c r="C132" s="10" t="s">
        <v>51</v>
      </c>
      <c r="D132" s="27"/>
      <c r="E132" s="27"/>
      <c r="F132" s="27"/>
      <c r="G132" s="27"/>
      <c r="H132" s="27"/>
      <c r="I132" s="41"/>
      <c r="J132" s="41"/>
      <c r="K132" s="41"/>
      <c r="L132" s="53"/>
      <c r="M132" s="27"/>
      <c r="N132" s="25"/>
      <c r="O132" s="18" t="str">
        <f t="shared" si="7"/>
        <v>-</v>
      </c>
    </row>
    <row r="133" spans="1:15" ht="96" hidden="1" customHeight="1" x14ac:dyDescent="0.25">
      <c r="A133" s="10"/>
      <c r="B133" s="26" t="s">
        <v>221</v>
      </c>
      <c r="C133" s="19" t="s">
        <v>212</v>
      </c>
      <c r="D133" s="27"/>
      <c r="E133" s="27"/>
      <c r="F133" s="27"/>
      <c r="G133" s="27"/>
      <c r="H133" s="27"/>
      <c r="I133" s="41"/>
      <c r="J133" s="41"/>
      <c r="K133" s="41"/>
      <c r="L133" s="53"/>
      <c r="M133" s="27"/>
      <c r="N133" s="25"/>
      <c r="O133" s="18" t="str">
        <f t="shared" si="7"/>
        <v>-</v>
      </c>
    </row>
    <row r="134" spans="1:15" ht="96" hidden="1" customHeight="1" x14ac:dyDescent="0.25">
      <c r="A134" s="10"/>
      <c r="B134" s="26" t="s">
        <v>222</v>
      </c>
      <c r="C134" s="10" t="s">
        <v>214</v>
      </c>
      <c r="D134" s="27"/>
      <c r="E134" s="27"/>
      <c r="F134" s="27"/>
      <c r="G134" s="27"/>
      <c r="H134" s="27"/>
      <c r="I134" s="41"/>
      <c r="J134" s="41"/>
      <c r="K134" s="41"/>
      <c r="L134" s="53"/>
      <c r="M134" s="27"/>
      <c r="N134" s="25"/>
      <c r="O134" s="18" t="str">
        <f t="shared" si="7"/>
        <v>-</v>
      </c>
    </row>
    <row r="135" spans="1:15" hidden="1" x14ac:dyDescent="0.25">
      <c r="A135" s="10" t="s">
        <v>223</v>
      </c>
      <c r="B135" s="26" t="s">
        <v>224</v>
      </c>
      <c r="C135" s="10" t="s">
        <v>51</v>
      </c>
      <c r="D135" s="27"/>
      <c r="E135" s="27"/>
      <c r="F135" s="27"/>
      <c r="G135" s="27"/>
      <c r="H135" s="27"/>
      <c r="I135" s="41"/>
      <c r="J135" s="41"/>
      <c r="K135" s="41"/>
      <c r="L135" s="53"/>
      <c r="M135" s="27"/>
      <c r="N135" s="25"/>
      <c r="O135" s="18" t="str">
        <f t="shared" si="7"/>
        <v>-</v>
      </c>
    </row>
    <row r="136" spans="1:15" ht="96" hidden="1" customHeight="1" x14ac:dyDescent="0.25">
      <c r="A136" s="10" t="s">
        <v>225</v>
      </c>
      <c r="B136" s="26" t="s">
        <v>226</v>
      </c>
      <c r="C136" s="10" t="s">
        <v>51</v>
      </c>
      <c r="D136" s="27"/>
      <c r="E136" s="27"/>
      <c r="F136" s="27"/>
      <c r="G136" s="27"/>
      <c r="H136" s="27"/>
      <c r="I136" s="41"/>
      <c r="J136" s="41"/>
      <c r="K136" s="41"/>
      <c r="L136" s="53"/>
      <c r="M136" s="27"/>
      <c r="N136" s="25"/>
      <c r="O136" s="18" t="str">
        <f t="shared" si="7"/>
        <v>-</v>
      </c>
    </row>
    <row r="137" spans="1:15" ht="180.75" customHeight="1" x14ac:dyDescent="0.25">
      <c r="A137" s="10" t="s">
        <v>23</v>
      </c>
      <c r="B137" s="26" t="s">
        <v>227</v>
      </c>
      <c r="C137" s="19" t="s">
        <v>51</v>
      </c>
      <c r="D137" s="20">
        <v>324</v>
      </c>
      <c r="E137" s="54">
        <v>519.79</v>
      </c>
      <c r="F137" s="54">
        <f>E137</f>
        <v>519.79</v>
      </c>
      <c r="G137" s="46" t="s">
        <v>228</v>
      </c>
      <c r="H137" s="55"/>
      <c r="I137" s="45">
        <v>394.6</v>
      </c>
      <c r="J137" s="45">
        <v>519.79</v>
      </c>
      <c r="K137" s="45">
        <v>539.92499999999995</v>
      </c>
      <c r="L137" s="26" t="s">
        <v>229</v>
      </c>
      <c r="M137" s="45">
        <v>539.92499999999995</v>
      </c>
      <c r="N137" s="25" t="s">
        <v>230</v>
      </c>
      <c r="O137" s="18">
        <f t="shared" si="7"/>
        <v>1.3682843385707044</v>
      </c>
    </row>
    <row r="138" spans="1:15" ht="15" customHeight="1" x14ac:dyDescent="0.25">
      <c r="A138" s="10" t="s">
        <v>35</v>
      </c>
      <c r="B138" s="26" t="s">
        <v>231</v>
      </c>
      <c r="C138" s="19" t="s">
        <v>51</v>
      </c>
      <c r="D138" s="20"/>
      <c r="E138" s="20"/>
      <c r="F138" s="20"/>
      <c r="G138" s="20"/>
      <c r="H138" s="20"/>
      <c r="I138" s="45"/>
      <c r="J138" s="45"/>
      <c r="K138" s="45"/>
      <c r="L138" s="25"/>
      <c r="M138" s="20"/>
      <c r="N138" s="25"/>
      <c r="O138" s="18" t="str">
        <f t="shared" si="7"/>
        <v>-</v>
      </c>
    </row>
    <row r="139" spans="1:15" ht="63" x14ac:dyDescent="0.25">
      <c r="A139" s="10" t="s">
        <v>37</v>
      </c>
      <c r="B139" s="26" t="s">
        <v>232</v>
      </c>
      <c r="C139" s="10" t="s">
        <v>51</v>
      </c>
      <c r="D139" s="20"/>
      <c r="E139" s="20"/>
      <c r="F139" s="20"/>
      <c r="G139" s="20"/>
      <c r="H139" s="20"/>
      <c r="I139" s="45"/>
      <c r="J139" s="45"/>
      <c r="K139" s="45"/>
      <c r="L139" s="25"/>
      <c r="M139" s="20"/>
      <c r="N139" s="25"/>
      <c r="O139" s="18" t="str">
        <f t="shared" si="7"/>
        <v>-</v>
      </c>
    </row>
    <row r="140" spans="1:15" ht="141.75" x14ac:dyDescent="0.25">
      <c r="A140" s="10" t="s">
        <v>39</v>
      </c>
      <c r="B140" s="26" t="s">
        <v>233</v>
      </c>
      <c r="C140" s="10" t="s">
        <v>51</v>
      </c>
      <c r="D140" s="20"/>
      <c r="E140" s="20"/>
      <c r="F140" s="20"/>
      <c r="G140" s="20"/>
      <c r="H140" s="20"/>
      <c r="I140" s="45"/>
      <c r="J140" s="45"/>
      <c r="K140" s="45"/>
      <c r="L140" s="25"/>
      <c r="M140" s="20"/>
      <c r="N140" s="25"/>
      <c r="O140" s="18" t="str">
        <f t="shared" si="7"/>
        <v>-</v>
      </c>
    </row>
    <row r="141" spans="1:15" ht="94.5" x14ac:dyDescent="0.25">
      <c r="A141" s="10" t="s">
        <v>41</v>
      </c>
      <c r="B141" s="26" t="s">
        <v>234</v>
      </c>
      <c r="C141" s="10" t="s">
        <v>51</v>
      </c>
      <c r="D141" s="20"/>
      <c r="E141" s="20"/>
      <c r="F141" s="20"/>
      <c r="G141" s="20"/>
      <c r="H141" s="20"/>
      <c r="I141" s="45"/>
      <c r="J141" s="45"/>
      <c r="K141" s="45"/>
      <c r="L141" s="25"/>
      <c r="M141" s="20"/>
      <c r="N141" s="25"/>
      <c r="O141" s="18" t="str">
        <f t="shared" si="7"/>
        <v>-</v>
      </c>
    </row>
    <row r="142" spans="1:15" ht="37.5" customHeight="1" x14ac:dyDescent="0.25">
      <c r="A142" s="10" t="s">
        <v>44</v>
      </c>
      <c r="B142" s="26" t="s">
        <v>235</v>
      </c>
      <c r="C142" s="10" t="s">
        <v>51</v>
      </c>
      <c r="D142" s="27">
        <v>853.7</v>
      </c>
      <c r="E142" s="41">
        <f>0.05*E32</f>
        <v>799.86</v>
      </c>
      <c r="F142" s="41">
        <f>0.05*F32</f>
        <v>799.86</v>
      </c>
      <c r="G142" s="43"/>
      <c r="H142" s="27"/>
      <c r="I142" s="41">
        <f>0.05*I32</f>
        <v>716.20500000000004</v>
      </c>
      <c r="J142" s="41">
        <f>(J39+J56+J63+J84+J96+J137)*0.05</f>
        <v>871.30150000000015</v>
      </c>
      <c r="K142" s="41">
        <f>(K39+K56+K63+K84+K96+K137)*0.05</f>
        <v>724.73624999999993</v>
      </c>
      <c r="L142" s="43" t="s">
        <v>236</v>
      </c>
      <c r="M142" s="41">
        <f>(M39+M56+M63+M84+M96+M137)*0.05</f>
        <v>724.40740360372661</v>
      </c>
      <c r="N142" s="25" t="s">
        <v>237</v>
      </c>
      <c r="O142" s="18">
        <f t="shared" si="7"/>
        <v>1.0114525919306994</v>
      </c>
    </row>
    <row r="143" spans="1:15" ht="90" customHeight="1" x14ac:dyDescent="0.25">
      <c r="A143" s="10" t="s">
        <v>238</v>
      </c>
      <c r="B143" s="26" t="s">
        <v>239</v>
      </c>
      <c r="C143" s="10" t="s">
        <v>51</v>
      </c>
      <c r="D143" s="27"/>
      <c r="E143" s="27"/>
      <c r="F143" s="27"/>
      <c r="G143" s="27"/>
      <c r="H143" s="27"/>
      <c r="I143" s="41"/>
      <c r="J143" s="41"/>
      <c r="K143" s="41"/>
      <c r="L143" s="25"/>
      <c r="M143" s="27"/>
      <c r="N143" s="25"/>
      <c r="O143" s="18" t="str">
        <f t="shared" si="7"/>
        <v>-</v>
      </c>
    </row>
    <row r="144" spans="1:15" ht="62.25" customHeight="1" x14ac:dyDescent="0.25">
      <c r="A144" s="10" t="s">
        <v>240</v>
      </c>
      <c r="B144" s="26" t="s">
        <v>241</v>
      </c>
      <c r="C144" s="10" t="s">
        <v>51</v>
      </c>
      <c r="D144" s="27"/>
      <c r="E144" s="27"/>
      <c r="F144" s="27"/>
      <c r="G144" s="27"/>
      <c r="H144" s="27"/>
      <c r="I144" s="41"/>
      <c r="J144" s="41"/>
      <c r="K144" s="41"/>
      <c r="L144" s="25"/>
      <c r="M144" s="27"/>
      <c r="N144" s="25"/>
      <c r="O144" s="18" t="str">
        <f t="shared" ref="O144:O151" si="8">IF(AND(I144&gt;0, M144&gt;0),M144/I144,"-")</f>
        <v>-</v>
      </c>
    </row>
    <row r="145" spans="1:15" ht="204" customHeight="1" x14ac:dyDescent="0.25">
      <c r="A145" s="10" t="s">
        <v>242</v>
      </c>
      <c r="B145" s="26" t="s">
        <v>243</v>
      </c>
      <c r="C145" s="10" t="s">
        <v>51</v>
      </c>
      <c r="D145" s="27">
        <v>4121.5</v>
      </c>
      <c r="E145" s="27"/>
      <c r="F145" s="27"/>
      <c r="G145" s="27"/>
      <c r="H145" s="27"/>
      <c r="I145" s="41">
        <v>5564.4</v>
      </c>
      <c r="J145" s="41"/>
      <c r="K145" s="41">
        <v>-2817.12</v>
      </c>
      <c r="L145" s="43" t="s">
        <v>244</v>
      </c>
      <c r="M145" s="41">
        <f>(12752*(1-1%)*1.059/6766*5177.3+951.8+519.79+853.7)-15529.62</f>
        <v>-2974.2083916736647</v>
      </c>
      <c r="N145" s="25" t="s">
        <v>261</v>
      </c>
      <c r="O145" s="18" t="str">
        <f t="shared" si="8"/>
        <v>-</v>
      </c>
    </row>
    <row r="146" spans="1:15" ht="109.5" customHeight="1" x14ac:dyDescent="0.25">
      <c r="A146" s="10" t="s">
        <v>245</v>
      </c>
      <c r="B146" s="26" t="s">
        <v>246</v>
      </c>
      <c r="C146" s="10" t="s">
        <v>51</v>
      </c>
      <c r="D146" s="27"/>
      <c r="E146" s="27"/>
      <c r="F146" s="27"/>
      <c r="G146" s="27"/>
      <c r="H146" s="27"/>
      <c r="I146" s="41"/>
      <c r="J146" s="41"/>
      <c r="K146" s="41"/>
      <c r="L146" s="25"/>
      <c r="M146" s="27"/>
      <c r="N146" s="25"/>
      <c r="O146" s="18" t="str">
        <f t="shared" si="8"/>
        <v>-</v>
      </c>
    </row>
    <row r="147" spans="1:15" ht="77.25" customHeight="1" x14ac:dyDescent="0.25">
      <c r="A147" s="10" t="s">
        <v>247</v>
      </c>
      <c r="B147" s="26" t="s">
        <v>248</v>
      </c>
      <c r="C147" s="10" t="s">
        <v>51</v>
      </c>
      <c r="D147" s="27"/>
      <c r="E147" s="27"/>
      <c r="F147" s="27"/>
      <c r="G147" s="27"/>
      <c r="H147" s="27"/>
      <c r="I147" s="41"/>
      <c r="J147" s="41"/>
      <c r="K147" s="41"/>
      <c r="L147" s="25"/>
      <c r="M147" s="27"/>
      <c r="N147" s="25"/>
      <c r="O147" s="18" t="str">
        <f t="shared" si="8"/>
        <v>-</v>
      </c>
    </row>
    <row r="148" spans="1:15" ht="147.75" customHeight="1" x14ac:dyDescent="0.25">
      <c r="A148" s="10" t="s">
        <v>249</v>
      </c>
      <c r="B148" s="26" t="s">
        <v>250</v>
      </c>
      <c r="C148" s="10" t="s">
        <v>51</v>
      </c>
      <c r="D148" s="27"/>
      <c r="E148" s="27"/>
      <c r="F148" s="27"/>
      <c r="G148" s="27"/>
      <c r="H148" s="27"/>
      <c r="I148" s="41"/>
      <c r="J148" s="41"/>
      <c r="K148" s="41"/>
      <c r="L148" s="25"/>
      <c r="M148" s="41">
        <f>((22440*2.2)-41471.5)*4.5*12*1.302/1000</f>
        <v>555.18712200000039</v>
      </c>
      <c r="N148" s="25" t="s">
        <v>251</v>
      </c>
      <c r="O148" s="18"/>
    </row>
    <row r="149" spans="1:15" ht="147" customHeight="1" x14ac:dyDescent="0.25">
      <c r="A149" s="10" t="s">
        <v>252</v>
      </c>
      <c r="B149" s="26" t="s">
        <v>253</v>
      </c>
      <c r="C149" s="10" t="s">
        <v>51</v>
      </c>
      <c r="D149" s="27"/>
      <c r="E149" s="27"/>
      <c r="F149" s="27"/>
      <c r="G149" s="27"/>
      <c r="H149" s="27"/>
      <c r="I149" s="41"/>
      <c r="J149" s="41"/>
      <c r="K149" s="41"/>
      <c r="L149" s="25"/>
      <c r="M149" s="41">
        <v>-920.7</v>
      </c>
      <c r="N149" s="25" t="s">
        <v>254</v>
      </c>
      <c r="O149" s="18"/>
    </row>
    <row r="150" spans="1:15" ht="30" customHeight="1" x14ac:dyDescent="0.25">
      <c r="A150" s="19" t="s">
        <v>249</v>
      </c>
      <c r="B150" s="56" t="str">
        <f>IF($C$31="да","Необходимая валовая выручка (без учета НДС)","Необходимая валовая выручка (НДС не облагается)")</f>
        <v>Необходимая валовая выручка (НДС не облагается)</v>
      </c>
      <c r="C150" s="19" t="s">
        <v>51</v>
      </c>
      <c r="D150" s="20">
        <f>ROUND(D32,1)+ROUND(D137,1)+ROUND(D138,1)+ROUND(D142,1)+ROUND(D143,1)+ROUND(D144,1)+ROUND(D145,1)+ROUND(D146,1)+ROUND(D147,1)</f>
        <v>22372.400000000001</v>
      </c>
      <c r="E150" s="20">
        <f>ROUND(E32,1)+ROUND(E137,1)+ROUND(E138,1)+ROUND(E142,1)+ROUND(E143,1)+ROUND(E144,1)+ROUND(E145,1)+ROUND(E146,1)+ROUND(E147,1)</f>
        <v>17316.900000000001</v>
      </c>
      <c r="F150" s="20">
        <f>ROUND(F32,1)+ROUND(F137,1)+ROUND(F138,1)+ROUND(F142,1)+ROUND(F143,1)+ROUND(F144,1)+ROUND(F145,1)+ROUND(F146,1)+ROUND(F147,1)</f>
        <v>17316.900000000001</v>
      </c>
      <c r="G150" s="25" t="s">
        <v>255</v>
      </c>
      <c r="H150" s="25" t="s">
        <v>255</v>
      </c>
      <c r="I150" s="45">
        <f>ROUND(I32,1)+ROUND(I137,1)+ROUND(I138,1)+ROUND(I142,1)+ROUND(I143,1)+ROUND(I144,1)+ROUND(I145,1)+ROUND(I146,1)+ROUND(I147,1)</f>
        <v>20999.300000000003</v>
      </c>
      <c r="J150" s="45">
        <f>ROUND(J32,1)+ROUND(J137,1)+ROUND(J138,1)+ROUND(J142,1)+ROUND(J143,1)+ROUND(J144,1)+ROUND(J145,1)+ROUND(J146,1)+ROUND(J147,1)</f>
        <v>18297.3</v>
      </c>
      <c r="K150" s="45">
        <f>ROUND(K32,1)+ROUND(K137,1)+ROUND(K138,1)+ROUND(K142,1)+ROUND(K143,1)+ROUND(K144,1)+ROUND(K145,1)+ROUND(K146,1)+ROUND(K147,1)</f>
        <v>20364.300000000003</v>
      </c>
      <c r="L150" s="25" t="s">
        <v>255</v>
      </c>
      <c r="M150" s="20">
        <f>ROUND(M32,1)+ROUND(M137,1)+ROUND(M138,1)+ROUND(M142,1)+ROUND(M143,1)+ROUND(M144,1)+ROUND(M145,1)+ROUND(M146,1)+ROUND(M147,1)+ROUND(M148,1)+ROUND(M149,1)</f>
        <v>18807.600000000002</v>
      </c>
      <c r="N150" s="25" t="s">
        <v>255</v>
      </c>
      <c r="O150" s="18">
        <f t="shared" si="8"/>
        <v>0.89562985432847764</v>
      </c>
    </row>
    <row r="151" spans="1:15" ht="48.75" customHeight="1" x14ac:dyDescent="0.25">
      <c r="A151" s="19" t="s">
        <v>256</v>
      </c>
      <c r="B151" s="57" t="str">
        <f>IF($C$31="Да","Тариф (без учета НДС)","Тариф (НДС не облагается)")</f>
        <v>Тариф (НДС не облагается)</v>
      </c>
      <c r="C151" s="38" t="s">
        <v>257</v>
      </c>
      <c r="D151" s="58">
        <f>ROUND(D150,1)/ROUND(D15,1)*1000</f>
        <v>2981.7939490870322</v>
      </c>
      <c r="E151" s="58">
        <f>ROUND(E150,1)/ROUND(E15,1)*1000</f>
        <v>3344.7743032082358</v>
      </c>
      <c r="F151" s="58">
        <f>ROUND(F150,1)/ROUND(F15,1)*1000</f>
        <v>3344.7743032082358</v>
      </c>
      <c r="G151" s="25" t="s">
        <v>258</v>
      </c>
      <c r="H151" s="25" t="s">
        <v>258</v>
      </c>
      <c r="I151" s="58">
        <f>ROUND(I150,1)/ROUND(I15,1)*1000</f>
        <v>3050.8935057387766</v>
      </c>
      <c r="J151" s="58">
        <f>ROUND(J150,1)/ROUND(J15,1)*1000</f>
        <v>3033.8749792737522</v>
      </c>
      <c r="K151" s="58">
        <f>ROUND(K150,1)/ROUND(K15,1)*1000</f>
        <v>3177.4535809018566</v>
      </c>
      <c r="L151" s="25" t="s">
        <v>258</v>
      </c>
      <c r="M151" s="58">
        <f>ROUND(M150,1)/ROUND(M15,1)*1000</f>
        <v>2934.5607739116867</v>
      </c>
      <c r="N151" s="25" t="s">
        <v>259</v>
      </c>
      <c r="O151" s="18">
        <f t="shared" si="8"/>
        <v>0.96186929120657072</v>
      </c>
    </row>
    <row r="153" spans="1:15" x14ac:dyDescent="0.25">
      <c r="D153" s="59"/>
      <c r="E153" s="59"/>
      <c r="F153" s="59"/>
    </row>
    <row r="154" spans="1:15" x14ac:dyDescent="0.25">
      <c r="F154" s="59"/>
    </row>
    <row r="155" spans="1:15" x14ac:dyDescent="0.25">
      <c r="A155" s="1" t="s">
        <v>260</v>
      </c>
      <c r="D155" s="60"/>
      <c r="E155" s="60"/>
      <c r="F155" s="60"/>
      <c r="L155" s="64" t="s">
        <v>262</v>
      </c>
      <c r="M155" s="64"/>
    </row>
    <row r="156" spans="1:15" ht="18.75" customHeight="1" x14ac:dyDescent="0.25">
      <c r="D156" s="60"/>
      <c r="E156" s="60"/>
      <c r="F156" s="60"/>
    </row>
    <row r="157" spans="1:15" x14ac:dyDescent="0.25">
      <c r="D157" s="61"/>
      <c r="E157" s="59"/>
      <c r="F157" s="61"/>
    </row>
    <row r="158" spans="1:15" x14ac:dyDescent="0.25">
      <c r="D158" s="59"/>
      <c r="E158" s="59"/>
      <c r="F158" s="62"/>
    </row>
    <row r="159" spans="1:15" x14ac:dyDescent="0.25">
      <c r="E159" s="59"/>
      <c r="F159" s="62"/>
    </row>
    <row r="160" spans="1:15" x14ac:dyDescent="0.25">
      <c r="F160" s="60"/>
    </row>
    <row r="161" spans="4:6" x14ac:dyDescent="0.25">
      <c r="D161" s="61"/>
    </row>
    <row r="162" spans="4:6" x14ac:dyDescent="0.25">
      <c r="F162" s="62"/>
    </row>
    <row r="164" spans="4:6" x14ac:dyDescent="0.25">
      <c r="E164" s="63"/>
    </row>
    <row r="167" spans="4:6" x14ac:dyDescent="0.25">
      <c r="E167" s="63"/>
    </row>
  </sheetData>
  <sheetProtection formatCells="0" formatColumns="0" formatRows="0" insertColumns="0" insertRows="0" insertHyperlinks="0" deleteColumns="0" deleteRows="0" sort="0" autoFilter="0" pivotTables="0"/>
  <mergeCells count="40">
    <mergeCell ref="D9:F9"/>
    <mergeCell ref="G9:G11"/>
    <mergeCell ref="D10:F10"/>
    <mergeCell ref="A26:A27"/>
    <mergeCell ref="B26:B27"/>
    <mergeCell ref="I10:J10"/>
    <mergeCell ref="B3:O3"/>
    <mergeCell ref="B4:O4"/>
    <mergeCell ref="B5:O5"/>
    <mergeCell ref="B6:O6"/>
    <mergeCell ref="B7:O7"/>
    <mergeCell ref="H9:H11"/>
    <mergeCell ref="I9:J9"/>
    <mergeCell ref="L9:L11"/>
    <mergeCell ref="N9:N11"/>
    <mergeCell ref="O9:O11"/>
    <mergeCell ref="A9:A11"/>
    <mergeCell ref="B9:B11"/>
    <mergeCell ref="C9:C11"/>
    <mergeCell ref="L155:M155"/>
    <mergeCell ref="L36:L37"/>
    <mergeCell ref="N14:N27"/>
    <mergeCell ref="A17:A18"/>
    <mergeCell ref="B17:B18"/>
    <mergeCell ref="A19:A20"/>
    <mergeCell ref="B19:B20"/>
    <mergeCell ref="A14:A16"/>
    <mergeCell ref="B14:B15"/>
    <mergeCell ref="G14:G27"/>
    <mergeCell ref="H14:H27"/>
    <mergeCell ref="L14:L27"/>
    <mergeCell ref="A22:A23"/>
    <mergeCell ref="B22:B23"/>
    <mergeCell ref="A24:A25"/>
    <mergeCell ref="B24:B25"/>
    <mergeCell ref="N1:O1"/>
    <mergeCell ref="N36:N37"/>
    <mergeCell ref="G45:G49"/>
    <mergeCell ref="G64:G67"/>
    <mergeCell ref="H64:H67"/>
  </mergeCells>
  <dataValidations count="2">
    <dataValidation type="list" allowBlank="1" showInputMessage="1" showErrorMessage="1" sqref="C31">
      <formula1>"Да, Нет"</formula1>
    </dataValidation>
    <dataValidation type="list" allowBlank="1" showInputMessage="1" showErrorMessage="1" sqref="B4">
      <formula1>"захоронение твердых коммунальных отходов (ТКО), обработку твердых коммунальных отходов (ТКО), обезвреживание твердых коммунальных отходов (ТКО)"</formula1>
    </dataValidation>
  </dataValidations>
  <pageMargins left="0" right="0" top="0.39370078740157483" bottom="0" header="0.31496062992125984" footer="0.31496062992125984"/>
  <pageSetup paperSize="9" scale="40" fitToHeight="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ТКО</vt:lpstr>
      <vt:lpstr>ТКО!Заголовки_для_печати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Куклина Татьяна Витальевна</dc:creator>
  <cp:lastModifiedBy>Куклина Татьяна Витальевна</cp:lastModifiedBy>
  <cp:lastPrinted>2024-12-06T03:41:08Z</cp:lastPrinted>
  <dcterms:created xsi:type="dcterms:W3CDTF">2024-12-05T04:36:46Z</dcterms:created>
  <dcterms:modified xsi:type="dcterms:W3CDTF">2024-12-06T03:41:43Z</dcterms:modified>
</cp:coreProperties>
</file>