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stromina\Documents\ФОРМА  117\2016\"/>
    </mc:Choice>
  </mc:AlternateContent>
  <bookViews>
    <workbookView xWindow="0" yWindow="0" windowWidth="24000" windowHeight="9135" activeTab="1"/>
  </bookViews>
  <sheets>
    <sheet name="Доходы" sheetId="2" r:id="rId1"/>
    <sheet name="Расходы " sheetId="5" r:id="rId2"/>
    <sheet name="Источники" sheetId="4" r:id="rId3"/>
  </sheets>
  <externalReferences>
    <externalReference r:id="rId4"/>
  </externalReferences>
  <calcPr calcId="152511"/>
</workbook>
</file>

<file path=xl/calcChain.xml><?xml version="1.0" encoding="utf-8"?>
<calcChain xmlns="http://schemas.openxmlformats.org/spreadsheetml/2006/main">
  <c r="D387" i="5" l="1"/>
  <c r="E325" i="5"/>
  <c r="D325" i="5"/>
  <c r="F336" i="5"/>
  <c r="F335" i="5"/>
  <c r="F334" i="5"/>
  <c r="E335" i="5"/>
  <c r="E334" i="5" s="1"/>
  <c r="D334" i="5"/>
  <c r="D335" i="5"/>
  <c r="D439" i="5" l="1"/>
  <c r="D288" i="5" l="1"/>
  <c r="F304" i="5" l="1"/>
  <c r="F300" i="5"/>
  <c r="E303" i="5"/>
  <c r="E302" i="5" s="1"/>
  <c r="E301" i="5" s="1"/>
  <c r="D303" i="5"/>
  <c r="F303" i="5" s="1"/>
  <c r="D302" i="5" l="1"/>
  <c r="D151" i="5"/>
  <c r="F147" i="5"/>
  <c r="E145" i="5"/>
  <c r="E144" i="5" s="1"/>
  <c r="E146" i="5"/>
  <c r="D146" i="5"/>
  <c r="F146" i="5" s="1"/>
  <c r="A144" i="5"/>
  <c r="A145" i="5"/>
  <c r="A146" i="5"/>
  <c r="A147" i="5"/>
  <c r="D145" i="5" l="1"/>
  <c r="F302" i="5"/>
  <c r="D301" i="5"/>
  <c r="F301" i="5" s="1"/>
  <c r="D493" i="5"/>
  <c r="D494" i="5"/>
  <c r="D503" i="5"/>
  <c r="F509" i="5"/>
  <c r="E508" i="5"/>
  <c r="F508" i="5" s="1"/>
  <c r="D507" i="5"/>
  <c r="D508" i="5"/>
  <c r="A507" i="5"/>
  <c r="A508" i="5"/>
  <c r="A509" i="5"/>
  <c r="D506" i="5"/>
  <c r="F492" i="5"/>
  <c r="E491" i="5"/>
  <c r="F491" i="5" s="1"/>
  <c r="D490" i="5"/>
  <c r="D491" i="5"/>
  <c r="A490" i="5"/>
  <c r="A491" i="5"/>
  <c r="A492" i="5"/>
  <c r="D489" i="5"/>
  <c r="D282" i="5"/>
  <c r="D228" i="5"/>
  <c r="D224" i="5"/>
  <c r="D220" i="5"/>
  <c r="D216" i="5"/>
  <c r="D212" i="5"/>
  <c r="D188" i="5"/>
  <c r="D175" i="5"/>
  <c r="D113" i="5"/>
  <c r="F108" i="5"/>
  <c r="E107" i="5"/>
  <c r="D106" i="5"/>
  <c r="D107" i="5"/>
  <c r="A107" i="5"/>
  <c r="A108" i="5"/>
  <c r="F145" i="5" l="1"/>
  <c r="D144" i="5"/>
  <c r="F144" i="5" s="1"/>
  <c r="E507" i="5"/>
  <c r="F507" i="5" s="1"/>
  <c r="E490" i="5"/>
  <c r="F490" i="5" s="1"/>
  <c r="F107" i="5"/>
  <c r="E517" i="5"/>
  <c r="E516" i="5" s="1"/>
  <c r="E515" i="5" s="1"/>
  <c r="E514" i="5" s="1"/>
  <c r="E513" i="5" s="1"/>
  <c r="E512" i="5" s="1"/>
  <c r="E511" i="5" s="1"/>
  <c r="E510" i="5" s="1"/>
  <c r="E505" i="5"/>
  <c r="E504" i="5" s="1"/>
  <c r="E499" i="5"/>
  <c r="E498" i="5" s="1"/>
  <c r="E497" i="5" s="1"/>
  <c r="E496" i="5" s="1"/>
  <c r="E495" i="5" s="1"/>
  <c r="E494" i="5" s="1"/>
  <c r="E488" i="5"/>
  <c r="E487" i="5" s="1"/>
  <c r="E481" i="5"/>
  <c r="E480" i="5" s="1"/>
  <c r="E479" i="5" s="1"/>
  <c r="E478" i="5" s="1"/>
  <c r="E477" i="5" s="1"/>
  <c r="E475" i="5"/>
  <c r="E474" i="5" s="1"/>
  <c r="E472" i="5"/>
  <c r="E471" i="5" s="1"/>
  <c r="E468" i="5"/>
  <c r="E467" i="5" s="1"/>
  <c r="E464" i="5"/>
  <c r="E463" i="5" s="1"/>
  <c r="E462" i="5" s="1"/>
  <c r="E459" i="5"/>
  <c r="E458" i="5" s="1"/>
  <c r="E457" i="5" s="1"/>
  <c r="E456" i="5" s="1"/>
  <c r="E450" i="5"/>
  <c r="E449" i="5" s="1"/>
  <c r="E448" i="5" s="1"/>
  <c r="E447" i="5" s="1"/>
  <c r="E442" i="5"/>
  <c r="E441" i="5" s="1"/>
  <c r="E440" i="5" s="1"/>
  <c r="E438" i="5"/>
  <c r="E436" i="5"/>
  <c r="E435" i="5" s="1"/>
  <c r="E432" i="5"/>
  <c r="E431" i="5" s="1"/>
  <c r="E428" i="5"/>
  <c r="E427" i="5" s="1"/>
  <c r="E425" i="5"/>
  <c r="E424" i="5" s="1"/>
  <c r="E423" i="5" s="1"/>
  <c r="E418" i="5"/>
  <c r="E417" i="5" s="1"/>
  <c r="E416" i="5" s="1"/>
  <c r="E415" i="5" s="1"/>
  <c r="E414" i="5" s="1"/>
  <c r="E413" i="5" s="1"/>
  <c r="E411" i="5"/>
  <c r="E410" i="5" s="1"/>
  <c r="E409" i="5" s="1"/>
  <c r="E408" i="5" s="1"/>
  <c r="E407" i="5" s="1"/>
  <c r="E406" i="5" s="1"/>
  <c r="E405" i="5" s="1"/>
  <c r="E402" i="5"/>
  <c r="E401" i="5" s="1"/>
  <c r="E400" i="5" s="1"/>
  <c r="E399" i="5" s="1"/>
  <c r="E398" i="5" s="1"/>
  <c r="E397" i="5" s="1"/>
  <c r="E395" i="5"/>
  <c r="E394" i="5" s="1"/>
  <c r="E393" i="5" s="1"/>
  <c r="E391" i="5"/>
  <c r="E390" i="5" s="1"/>
  <c r="E389" i="5" s="1"/>
  <c r="E386" i="5"/>
  <c r="E385" i="5" s="1"/>
  <c r="E384" i="5" s="1"/>
  <c r="E383" i="5" s="1"/>
  <c r="E381" i="5"/>
  <c r="E380" i="5" s="1"/>
  <c r="E379" i="5" s="1"/>
  <c r="E378" i="5" s="1"/>
  <c r="E376" i="5"/>
  <c r="E375" i="5" s="1"/>
  <c r="E374" i="5" s="1"/>
  <c r="E373" i="5" s="1"/>
  <c r="E370" i="5"/>
  <c r="E369" i="5" s="1"/>
  <c r="E368" i="5" s="1"/>
  <c r="E367" i="5" s="1"/>
  <c r="E365" i="5"/>
  <c r="E364" i="5" s="1"/>
  <c r="E363" i="5" s="1"/>
  <c r="E362" i="5" s="1"/>
  <c r="E359" i="5"/>
  <c r="E358" i="5" s="1"/>
  <c r="E354" i="5"/>
  <c r="E353" i="5" s="1"/>
  <c r="E352" i="5" s="1"/>
  <c r="E351" i="5" s="1"/>
  <c r="E346" i="5"/>
  <c r="E345" i="5" s="1"/>
  <c r="E344" i="5" s="1"/>
  <c r="E343" i="5" s="1"/>
  <c r="E342" i="5" s="1"/>
  <c r="E340" i="5"/>
  <c r="E339" i="5" s="1"/>
  <c r="E338" i="5" s="1"/>
  <c r="E337" i="5" s="1"/>
  <c r="E332" i="5"/>
  <c r="E331" i="5" s="1"/>
  <c r="E330" i="5" s="1"/>
  <c r="E328" i="5"/>
  <c r="E327" i="5" s="1"/>
  <c r="E326" i="5" s="1"/>
  <c r="E322" i="5"/>
  <c r="E321" i="5" s="1"/>
  <c r="E320" i="5"/>
  <c r="E319" i="5" s="1"/>
  <c r="E318" i="5" s="1"/>
  <c r="E312" i="5"/>
  <c r="E311" i="5" s="1"/>
  <c r="E310" i="5" s="1"/>
  <c r="E308" i="5"/>
  <c r="E307" i="5" s="1"/>
  <c r="E306" i="5" s="1"/>
  <c r="E305" i="5" s="1"/>
  <c r="E299" i="5"/>
  <c r="E298" i="5" s="1"/>
  <c r="E297" i="5" s="1"/>
  <c r="E295" i="5"/>
  <c r="E294" i="5" s="1"/>
  <c r="E293" i="5" s="1"/>
  <c r="E291" i="5"/>
  <c r="E290" i="5" s="1"/>
  <c r="E289" i="5" s="1"/>
  <c r="E287" i="5"/>
  <c r="E286" i="5" s="1"/>
  <c r="E285" i="5" s="1"/>
  <c r="E281" i="5"/>
  <c r="E280" i="5" s="1"/>
  <c r="E279" i="5" s="1"/>
  <c r="E277" i="5"/>
  <c r="E276" i="5" s="1"/>
  <c r="E275" i="5" s="1"/>
  <c r="E272" i="5"/>
  <c r="E271" i="5" s="1"/>
  <c r="E270" i="5" s="1"/>
  <c r="E268" i="5"/>
  <c r="E267" i="5" s="1"/>
  <c r="E266" i="5" s="1"/>
  <c r="E264" i="5"/>
  <c r="E263" i="5" s="1"/>
  <c r="E262" i="5" s="1"/>
  <c r="E257" i="5"/>
  <c r="E256" i="5" s="1"/>
  <c r="E254" i="5"/>
  <c r="E253" i="5" s="1"/>
  <c r="E252" i="5" s="1"/>
  <c r="E250" i="5"/>
  <c r="E249" i="5" s="1"/>
  <c r="E248" i="5" s="1"/>
  <c r="E241" i="5"/>
  <c r="E240" i="5" s="1"/>
  <c r="E238" i="5"/>
  <c r="E237" i="5" s="1"/>
  <c r="E236" i="5" s="1"/>
  <c r="E235" i="5" s="1"/>
  <c r="E234" i="5" s="1"/>
  <c r="E232" i="5"/>
  <c r="E231" i="5" s="1"/>
  <c r="E230" i="5" s="1"/>
  <c r="E229" i="5" s="1"/>
  <c r="E227" i="5"/>
  <c r="E226" i="5" s="1"/>
  <c r="E225" i="5" s="1"/>
  <c r="E223" i="5"/>
  <c r="E222" i="5" s="1"/>
  <c r="E221" i="5" s="1"/>
  <c r="E219" i="5"/>
  <c r="E218" i="5" s="1"/>
  <c r="E217" i="5" s="1"/>
  <c r="E215" i="5"/>
  <c r="E214" i="5" s="1"/>
  <c r="E213" i="5" s="1"/>
  <c r="E211" i="5"/>
  <c r="E210" i="5" s="1"/>
  <c r="E209" i="5" s="1"/>
  <c r="E203" i="5"/>
  <c r="E202" i="5" s="1"/>
  <c r="E201" i="5" s="1"/>
  <c r="E200" i="5" s="1"/>
  <c r="E198" i="5"/>
  <c r="E197" i="5" s="1"/>
  <c r="E196" i="5" s="1"/>
  <c r="E195" i="5" s="1"/>
  <c r="E192" i="5"/>
  <c r="E191" i="5" s="1"/>
  <c r="E190" i="5" s="1"/>
  <c r="E189" i="5" s="1"/>
  <c r="E187" i="5"/>
  <c r="E186" i="5" s="1"/>
  <c r="E185" i="5" s="1"/>
  <c r="E184" i="5" s="1"/>
  <c r="E182" i="5"/>
  <c r="E181" i="5" s="1"/>
  <c r="E180" i="5" s="1"/>
  <c r="E178" i="5"/>
  <c r="E177" i="5" s="1"/>
  <c r="E176" i="5" s="1"/>
  <c r="E174" i="5"/>
  <c r="E173" i="5" s="1"/>
  <c r="E172" i="5" s="1"/>
  <c r="E166" i="5"/>
  <c r="E165" i="5" s="1"/>
  <c r="E164" i="5" s="1"/>
  <c r="E163" i="5" s="1"/>
  <c r="E162" i="5" s="1"/>
  <c r="E161" i="5" s="1"/>
  <c r="E160" i="5" s="1"/>
  <c r="E158" i="5"/>
  <c r="E157" i="5" s="1"/>
  <c r="E156" i="5" s="1"/>
  <c r="E155" i="5" s="1"/>
  <c r="E154" i="5" s="1"/>
  <c r="E153" i="5" s="1"/>
  <c r="E152" i="5" s="1"/>
  <c r="E150" i="5"/>
  <c r="E149" i="5" s="1"/>
  <c r="E148" i="5" s="1"/>
  <c r="E138" i="5"/>
  <c r="E137" i="5" s="1"/>
  <c r="E136" i="5" s="1"/>
  <c r="E135" i="5" s="1"/>
  <c r="E134" i="5" s="1"/>
  <c r="E132" i="5"/>
  <c r="E131" i="5" s="1"/>
  <c r="E128" i="5"/>
  <c r="E127" i="5" s="1"/>
  <c r="E124" i="5"/>
  <c r="E123" i="5" s="1"/>
  <c r="E120" i="5"/>
  <c r="E119" i="5" s="1"/>
  <c r="E112" i="5"/>
  <c r="E111" i="5" s="1"/>
  <c r="E110" i="5" s="1"/>
  <c r="E109" i="5" s="1"/>
  <c r="E105" i="5"/>
  <c r="E104" i="5" s="1"/>
  <c r="E98" i="5"/>
  <c r="E97" i="5" s="1"/>
  <c r="E96" i="5" s="1"/>
  <c r="E95" i="5" s="1"/>
  <c r="E94" i="5" s="1"/>
  <c r="E93" i="5" s="1"/>
  <c r="E90" i="5"/>
  <c r="E89" i="5" s="1"/>
  <c r="E88" i="5" s="1"/>
  <c r="E87" i="5" s="1"/>
  <c r="E86" i="5" s="1"/>
  <c r="E84" i="5"/>
  <c r="E83" i="5" s="1"/>
  <c r="E82" i="5" s="1"/>
  <c r="E80" i="5"/>
  <c r="E79" i="5" s="1"/>
  <c r="E78" i="5" s="1"/>
  <c r="E77" i="5" s="1"/>
  <c r="E72" i="5"/>
  <c r="E71" i="5" s="1"/>
  <c r="E70" i="5" s="1"/>
  <c r="E69" i="5" s="1"/>
  <c r="E68" i="5" s="1"/>
  <c r="E66" i="5"/>
  <c r="E65" i="5" s="1"/>
  <c r="E64" i="5" s="1"/>
  <c r="E62" i="5"/>
  <c r="E61" i="5" s="1"/>
  <c r="E60" i="5" s="1"/>
  <c r="E59" i="5" s="1"/>
  <c r="E58" i="5" s="1"/>
  <c r="E56" i="5"/>
  <c r="E55" i="5" s="1"/>
  <c r="E54" i="5" s="1"/>
  <c r="E53" i="5" s="1"/>
  <c r="E51" i="5"/>
  <c r="E50" i="5" s="1"/>
  <c r="E49" i="5" s="1"/>
  <c r="E48" i="5" s="1"/>
  <c r="E45" i="5"/>
  <c r="E44" i="5" s="1"/>
  <c r="E41" i="5"/>
  <c r="E40" i="5" s="1"/>
  <c r="E37" i="5"/>
  <c r="E36" i="5" s="1"/>
  <c r="E29" i="5"/>
  <c r="E28" i="5" s="1"/>
  <c r="E27" i="5" s="1"/>
  <c r="E26" i="5" s="1"/>
  <c r="E25" i="5" s="1"/>
  <c r="E24" i="5" s="1"/>
  <c r="E21" i="5"/>
  <c r="E20" i="5" s="1"/>
  <c r="E19" i="5" s="1"/>
  <c r="E17" i="5"/>
  <c r="E16" i="5" s="1"/>
  <c r="E15" i="5" s="1"/>
  <c r="E103" i="5" l="1"/>
  <c r="E102" i="5" s="1"/>
  <c r="E101" i="5" s="1"/>
  <c r="E100" i="5" s="1"/>
  <c r="E92" i="5" s="1"/>
  <c r="E503" i="5"/>
  <c r="E502" i="5" s="1"/>
  <c r="E501" i="5" s="1"/>
  <c r="E493" i="5" s="1"/>
  <c r="E284" i="5"/>
  <c r="E283" i="5" s="1"/>
  <c r="E486" i="5"/>
  <c r="E485" i="5" s="1"/>
  <c r="E484" i="5" s="1"/>
  <c r="E483" i="5" s="1"/>
  <c r="E47" i="5"/>
  <c r="E143" i="5"/>
  <c r="E142" i="5" s="1"/>
  <c r="E141" i="5" s="1"/>
  <c r="E140" i="5" s="1"/>
  <c r="E118" i="5"/>
  <c r="E404" i="5"/>
  <c r="E434" i="5"/>
  <c r="E430" i="5" s="1"/>
  <c r="E422" i="5" s="1"/>
  <c r="E421" i="5" s="1"/>
  <c r="E420" i="5" s="1"/>
  <c r="E388" i="5"/>
  <c r="E372" i="5"/>
  <c r="E361" i="5"/>
  <c r="E274" i="5"/>
  <c r="E247" i="5"/>
  <c r="E246" i="5" s="1"/>
  <c r="E245" i="5" s="1"/>
  <c r="E194" i="5"/>
  <c r="E76" i="5"/>
  <c r="E75" i="5"/>
  <c r="E74" i="5" s="1"/>
  <c r="E39" i="5"/>
  <c r="E35" i="5" s="1"/>
  <c r="E34" i="5" s="1"/>
  <c r="E33" i="5" s="1"/>
  <c r="E14" i="5"/>
  <c r="E13" i="5" s="1"/>
  <c r="E12" i="5" s="1"/>
  <c r="E11" i="5" s="1"/>
  <c r="E466" i="5"/>
  <c r="E461" i="5" s="1"/>
  <c r="E455" i="5" s="1"/>
  <c r="E261" i="5"/>
  <c r="E260" i="5" s="1"/>
  <c r="E171" i="5"/>
  <c r="E170" i="5" s="1"/>
  <c r="E208" i="5"/>
  <c r="E207" i="5" s="1"/>
  <c r="E206" i="5" s="1"/>
  <c r="E205" i="5" s="1"/>
  <c r="E357" i="5"/>
  <c r="E356" i="5"/>
  <c r="E350" i="5" s="1"/>
  <c r="E446" i="5"/>
  <c r="E445" i="5"/>
  <c r="E444" i="5" s="1"/>
  <c r="E126" i="5"/>
  <c r="E317" i="5"/>
  <c r="E316" i="5" s="1"/>
  <c r="E324" i="5"/>
  <c r="F396" i="5"/>
  <c r="F392" i="5"/>
  <c r="F323" i="5"/>
  <c r="F179" i="5"/>
  <c r="D518" i="5"/>
  <c r="D500" i="5"/>
  <c r="D482" i="5"/>
  <c r="F482" i="5" s="1"/>
  <c r="D476" i="5"/>
  <c r="D473" i="5"/>
  <c r="D470" i="5"/>
  <c r="D469" i="5"/>
  <c r="D465" i="5"/>
  <c r="D460" i="5"/>
  <c r="D451" i="5"/>
  <c r="D450" i="5" s="1"/>
  <c r="D443" i="5"/>
  <c r="D433" i="5"/>
  <c r="D429" i="5"/>
  <c r="D426" i="5"/>
  <c r="D425" i="5"/>
  <c r="D419" i="5"/>
  <c r="D412" i="5"/>
  <c r="D403" i="5"/>
  <c r="D402" i="5"/>
  <c r="D395" i="5"/>
  <c r="D391" i="5"/>
  <c r="D386" i="5"/>
  <c r="D382" i="5"/>
  <c r="D381" i="5" s="1"/>
  <c r="D377" i="5"/>
  <c r="F377" i="5" s="1"/>
  <c r="D371" i="5"/>
  <c r="D370" i="5" s="1"/>
  <c r="D366" i="5"/>
  <c r="D365" i="5" s="1"/>
  <c r="D360" i="5"/>
  <c r="D359" i="5" s="1"/>
  <c r="D355" i="5"/>
  <c r="D354" i="5" s="1"/>
  <c r="D347" i="5"/>
  <c r="D341" i="5"/>
  <c r="F341" i="5" s="1"/>
  <c r="D340" i="5"/>
  <c r="F340" i="5" s="1"/>
  <c r="D333" i="5"/>
  <c r="D332" i="5" s="1"/>
  <c r="D331" i="5" s="1"/>
  <c r="D330" i="5" s="1"/>
  <c r="D329" i="5"/>
  <c r="F329" i="5" s="1"/>
  <c r="D322" i="5"/>
  <c r="D320" i="5"/>
  <c r="F320" i="5" s="1"/>
  <c r="D319" i="5"/>
  <c r="D318" i="5" s="1"/>
  <c r="D313" i="5"/>
  <c r="D309" i="5"/>
  <c r="F309" i="5" s="1"/>
  <c r="D299" i="5"/>
  <c r="D291" i="5"/>
  <c r="D290" i="5" s="1"/>
  <c r="F288" i="5"/>
  <c r="D278" i="5"/>
  <c r="D273" i="5"/>
  <c r="D272" i="5" s="1"/>
  <c r="D269" i="5"/>
  <c r="D268" i="5"/>
  <c r="D267" i="5" s="1"/>
  <c r="D265" i="5"/>
  <c r="F265" i="5" s="1"/>
  <c r="D258" i="5"/>
  <c r="D255" i="5"/>
  <c r="D251" i="5"/>
  <c r="F251" i="5" s="1"/>
  <c r="D242" i="5"/>
  <c r="D239" i="5"/>
  <c r="D233" i="5"/>
  <c r="D223" i="5"/>
  <c r="F220" i="5"/>
  <c r="D215" i="5"/>
  <c r="D214" i="5" s="1"/>
  <c r="F212" i="5"/>
  <c r="D204" i="5"/>
  <c r="D203" i="5" s="1"/>
  <c r="D199" i="5"/>
  <c r="D198" i="5" s="1"/>
  <c r="D193" i="5"/>
  <c r="D192" i="5" s="1"/>
  <c r="D183" i="5"/>
  <c r="D182" i="5" s="1"/>
  <c r="D178" i="5"/>
  <c r="D174" i="5"/>
  <c r="D173" i="5" s="1"/>
  <c r="D172" i="5" s="1"/>
  <c r="D167" i="5"/>
  <c r="F167" i="5" s="1"/>
  <c r="D159" i="5"/>
  <c r="D158" i="5"/>
  <c r="D157" i="5" s="1"/>
  <c r="D150" i="5"/>
  <c r="D149" i="5" s="1"/>
  <c r="D139" i="5"/>
  <c r="D138" i="5" s="1"/>
  <c r="D137" i="5" s="1"/>
  <c r="D133" i="5"/>
  <c r="D132" i="5" s="1"/>
  <c r="D130" i="5"/>
  <c r="D129" i="5"/>
  <c r="D128" i="5" s="1"/>
  <c r="D127" i="5" s="1"/>
  <c r="D125" i="5"/>
  <c r="D122" i="5"/>
  <c r="F122" i="5" s="1"/>
  <c r="D121" i="5"/>
  <c r="F106" i="5"/>
  <c r="D105" i="5"/>
  <c r="D104" i="5" s="1"/>
  <c r="D103" i="5" s="1"/>
  <c r="D98" i="5"/>
  <c r="D97" i="5" s="1"/>
  <c r="D96" i="5" s="1"/>
  <c r="D91" i="5"/>
  <c r="F91" i="5" s="1"/>
  <c r="D85" i="5"/>
  <c r="D84" i="5" s="1"/>
  <c r="D81" i="5"/>
  <c r="D80" i="5" s="1"/>
  <c r="D73" i="5"/>
  <c r="D72" i="5" s="1"/>
  <c r="D67" i="5"/>
  <c r="D63" i="5"/>
  <c r="D57" i="5"/>
  <c r="D56" i="5" s="1"/>
  <c r="D55" i="5" s="1"/>
  <c r="D54" i="5" s="1"/>
  <c r="D53" i="5" s="1"/>
  <c r="F53" i="5" s="1"/>
  <c r="D52" i="5"/>
  <c r="F52" i="5" s="1"/>
  <c r="D46" i="5"/>
  <c r="D45" i="5"/>
  <c r="D44" i="5" s="1"/>
  <c r="D43" i="5"/>
  <c r="D42" i="5"/>
  <c r="D38" i="5"/>
  <c r="F38" i="5" s="1"/>
  <c r="D37" i="5"/>
  <c r="D36" i="5" s="1"/>
  <c r="D30" i="5"/>
  <c r="F30" i="5" s="1"/>
  <c r="D23" i="5"/>
  <c r="F23" i="5" s="1"/>
  <c r="D22" i="5"/>
  <c r="D18" i="5"/>
  <c r="F18" i="5" s="1"/>
  <c r="E169" i="5" l="1"/>
  <c r="E168" i="5" s="1"/>
  <c r="E454" i="5"/>
  <c r="E453" i="5" s="1"/>
  <c r="E452" i="5" s="1"/>
  <c r="E259" i="5"/>
  <c r="E117" i="5"/>
  <c r="E116" i="5" s="1"/>
  <c r="E115" i="5" s="1"/>
  <c r="E114" i="5" s="1"/>
  <c r="E32" i="5"/>
  <c r="E31" i="5" s="1"/>
  <c r="E10" i="5" s="1"/>
  <c r="E349" i="5"/>
  <c r="E348" i="5" s="1"/>
  <c r="F419" i="5"/>
  <c r="D418" i="5"/>
  <c r="F228" i="5"/>
  <c r="D227" i="5"/>
  <c r="F188" i="5"/>
  <c r="D187" i="5"/>
  <c r="D317" i="5"/>
  <c r="D316" i="5" s="1"/>
  <c r="F42" i="5"/>
  <c r="D41" i="5"/>
  <c r="F22" i="5"/>
  <c r="D21" i="5"/>
  <c r="F121" i="5"/>
  <c r="D120" i="5"/>
  <c r="D119" i="5" s="1"/>
  <c r="F172" i="5"/>
  <c r="D264" i="5"/>
  <c r="F264" i="5" s="1"/>
  <c r="D308" i="5"/>
  <c r="F308" i="5" s="1"/>
  <c r="D376" i="5"/>
  <c r="F376" i="5" s="1"/>
  <c r="D468" i="5"/>
  <c r="D481" i="5"/>
  <c r="D480" i="5" s="1"/>
  <c r="E315" i="5"/>
  <c r="E314" i="5" s="1"/>
  <c r="E244" i="5"/>
  <c r="F55" i="5"/>
  <c r="F43" i="5"/>
  <c r="F193" i="5"/>
  <c r="F130" i="5"/>
  <c r="F470" i="5"/>
  <c r="F44" i="5"/>
  <c r="F56" i="5"/>
  <c r="F204" i="5"/>
  <c r="F46" i="5"/>
  <c r="F133" i="5"/>
  <c r="F151" i="5"/>
  <c r="F159" i="5"/>
  <c r="D186" i="5"/>
  <c r="F296" i="5"/>
  <c r="F402" i="5"/>
  <c r="F215" i="5"/>
  <c r="F81" i="5"/>
  <c r="D17" i="5"/>
  <c r="D16" i="5" s="1"/>
  <c r="F16" i="5" s="1"/>
  <c r="D29" i="5"/>
  <c r="D28" i="5" s="1"/>
  <c r="D51" i="5"/>
  <c r="D50" i="5" s="1"/>
  <c r="D49" i="5" s="1"/>
  <c r="F49" i="5" s="1"/>
  <c r="D90" i="5"/>
  <c r="D89" i="5" s="1"/>
  <c r="D88" i="5" s="1"/>
  <c r="D87" i="5" s="1"/>
  <c r="D166" i="5"/>
  <c r="D165" i="5" s="1"/>
  <c r="D219" i="5"/>
  <c r="F219" i="5" s="1"/>
  <c r="D250" i="5"/>
  <c r="F250" i="5" s="1"/>
  <c r="F269" i="5"/>
  <c r="F313" i="5"/>
  <c r="D328" i="5"/>
  <c r="F328" i="5" s="1"/>
  <c r="D339" i="5"/>
  <c r="D338" i="5" s="1"/>
  <c r="D337" i="5" s="1"/>
  <c r="F337" i="5" s="1"/>
  <c r="F403" i="5"/>
  <c r="F426" i="5"/>
  <c r="F216" i="5"/>
  <c r="F36" i="5"/>
  <c r="F98" i="5"/>
  <c r="F272" i="5"/>
  <c r="D271" i="5"/>
  <c r="F138" i="5"/>
  <c r="D266" i="5"/>
  <c r="F266" i="5" s="1"/>
  <c r="F267" i="5"/>
  <c r="D66" i="5"/>
  <c r="F67" i="5"/>
  <c r="F104" i="5"/>
  <c r="D148" i="5"/>
  <c r="D143" i="5" s="1"/>
  <c r="F149" i="5"/>
  <c r="D156" i="5"/>
  <c r="F157" i="5"/>
  <c r="D181" i="5"/>
  <c r="F182" i="5"/>
  <c r="D197" i="5"/>
  <c r="F198" i="5"/>
  <c r="D346" i="5"/>
  <c r="F347" i="5"/>
  <c r="D385" i="5"/>
  <c r="F386" i="5"/>
  <c r="D424" i="5"/>
  <c r="F425" i="5"/>
  <c r="D505" i="5"/>
  <c r="F506" i="5"/>
  <c r="F150" i="5"/>
  <c r="F268" i="5"/>
  <c r="D71" i="5"/>
  <c r="F72" i="5"/>
  <c r="F174" i="5"/>
  <c r="D202" i="5"/>
  <c r="F203" i="5"/>
  <c r="D289" i="5"/>
  <c r="F289" i="5" s="1"/>
  <c r="F290" i="5"/>
  <c r="D390" i="5"/>
  <c r="F391" i="5"/>
  <c r="D438" i="5"/>
  <c r="F438" i="5" s="1"/>
  <c r="F439" i="5"/>
  <c r="D459" i="5"/>
  <c r="F460" i="5"/>
  <c r="D472" i="5"/>
  <c r="F473" i="5"/>
  <c r="D517" i="5"/>
  <c r="F518" i="5"/>
  <c r="F90" i="5"/>
  <c r="F139" i="5"/>
  <c r="F173" i="5"/>
  <c r="F371" i="5"/>
  <c r="D95" i="5"/>
  <c r="D124" i="5"/>
  <c r="F125" i="5"/>
  <c r="F175" i="5"/>
  <c r="D254" i="5"/>
  <c r="F255" i="5"/>
  <c r="F292" i="5"/>
  <c r="F330" i="5"/>
  <c r="D353" i="5"/>
  <c r="F354" i="5"/>
  <c r="D364" i="5"/>
  <c r="F365" i="5"/>
  <c r="D394" i="5"/>
  <c r="F395" i="5"/>
  <c r="D411" i="5"/>
  <c r="F412" i="5"/>
  <c r="D428" i="5"/>
  <c r="F429" i="5"/>
  <c r="D442" i="5"/>
  <c r="F443" i="5"/>
  <c r="D464" i="5"/>
  <c r="F465" i="5"/>
  <c r="D475" i="5"/>
  <c r="F476" i="5"/>
  <c r="D488" i="5"/>
  <c r="F489" i="5"/>
  <c r="F37" i="5"/>
  <c r="F45" i="5"/>
  <c r="F57" i="5"/>
  <c r="F85" i="5"/>
  <c r="F158" i="5"/>
  <c r="F199" i="5"/>
  <c r="F273" i="5"/>
  <c r="D436" i="5"/>
  <c r="F437" i="5"/>
  <c r="F73" i="5"/>
  <c r="F89" i="5"/>
  <c r="F105" i="5"/>
  <c r="F183" i="5"/>
  <c r="F332" i="5"/>
  <c r="F451" i="5"/>
  <c r="F187" i="5"/>
  <c r="D232" i="5"/>
  <c r="F233" i="5"/>
  <c r="D277" i="5"/>
  <c r="F278" i="5"/>
  <c r="D298" i="5"/>
  <c r="F299" i="5"/>
  <c r="F319" i="5"/>
  <c r="F291" i="5"/>
  <c r="F360" i="5"/>
  <c r="F382" i="5"/>
  <c r="D79" i="5"/>
  <c r="F80" i="5"/>
  <c r="D136" i="5"/>
  <c r="D135" i="5" s="1"/>
  <c r="D222" i="5"/>
  <c r="F223" i="5"/>
  <c r="D238" i="5"/>
  <c r="F239" i="5"/>
  <c r="D281" i="5"/>
  <c r="F282" i="5"/>
  <c r="D62" i="5"/>
  <c r="F63" i="5"/>
  <c r="D83" i="5"/>
  <c r="F84" i="5"/>
  <c r="F99" i="5"/>
  <c r="F129" i="5"/>
  <c r="D177" i="5"/>
  <c r="F178" i="5"/>
  <c r="D191" i="5"/>
  <c r="F192" i="5"/>
  <c r="D211" i="5"/>
  <c r="F224" i="5"/>
  <c r="D241" i="5"/>
  <c r="F242" i="5"/>
  <c r="D257" i="5"/>
  <c r="F258" i="5"/>
  <c r="D287" i="5"/>
  <c r="D295" i="5"/>
  <c r="D307" i="5"/>
  <c r="D312" i="5"/>
  <c r="D321" i="5"/>
  <c r="F321" i="5" s="1"/>
  <c r="F322" i="5"/>
  <c r="F333" i="5"/>
  <c r="D369" i="5"/>
  <c r="F370" i="5"/>
  <c r="D380" i="5"/>
  <c r="F381" i="5"/>
  <c r="D401" i="5"/>
  <c r="D432" i="5"/>
  <c r="F433" i="5"/>
  <c r="D449" i="5"/>
  <c r="F450" i="5"/>
  <c r="F469" i="5"/>
  <c r="D499" i="5"/>
  <c r="F500" i="5"/>
  <c r="F54" i="5"/>
  <c r="F331" i="5"/>
  <c r="F355" i="5"/>
  <c r="F366" i="5"/>
  <c r="F387" i="5"/>
  <c r="D375" i="5" l="1"/>
  <c r="F375" i="5" s="1"/>
  <c r="F338" i="5"/>
  <c r="F339" i="5"/>
  <c r="D249" i="5"/>
  <c r="F249" i="5" s="1"/>
  <c r="D374" i="5"/>
  <c r="F374" i="5" s="1"/>
  <c r="F481" i="5"/>
  <c r="D327" i="5"/>
  <c r="D326" i="5" s="1"/>
  <c r="D324" i="5" s="1"/>
  <c r="D263" i="5"/>
  <c r="E243" i="5"/>
  <c r="E9" i="5" s="1"/>
  <c r="E7" i="5" s="1"/>
  <c r="F211" i="5"/>
  <c r="D210" i="5"/>
  <c r="F166" i="5"/>
  <c r="F17" i="5"/>
  <c r="F88" i="5"/>
  <c r="D27" i="5"/>
  <c r="D26" i="5" s="1"/>
  <c r="D15" i="5"/>
  <c r="F29" i="5"/>
  <c r="D48" i="5"/>
  <c r="F48" i="5" s="1"/>
  <c r="F50" i="5"/>
  <c r="D218" i="5"/>
  <c r="D217" i="5" s="1"/>
  <c r="F28" i="5"/>
  <c r="F51" i="5"/>
  <c r="D40" i="5"/>
  <c r="D39" i="5" s="1"/>
  <c r="D358" i="5"/>
  <c r="F359" i="5"/>
  <c r="D498" i="5"/>
  <c r="F499" i="5"/>
  <c r="D306" i="5"/>
  <c r="F307" i="5"/>
  <c r="D112" i="5"/>
  <c r="F113" i="5"/>
  <c r="D231" i="5"/>
  <c r="F232" i="5"/>
  <c r="D471" i="5"/>
  <c r="F471" i="5" s="1"/>
  <c r="F472" i="5"/>
  <c r="D504" i="5"/>
  <c r="F505" i="5"/>
  <c r="F148" i="5"/>
  <c r="D270" i="5"/>
  <c r="F270" i="5" s="1"/>
  <c r="F271" i="5"/>
  <c r="D379" i="5"/>
  <c r="F380" i="5"/>
  <c r="D294" i="5"/>
  <c r="F295" i="5"/>
  <c r="D237" i="5"/>
  <c r="F238" i="5"/>
  <c r="D78" i="5"/>
  <c r="F79" i="5"/>
  <c r="D487" i="5"/>
  <c r="D486" i="5" s="1"/>
  <c r="F488" i="5"/>
  <c r="D427" i="5"/>
  <c r="F427" i="5" s="1"/>
  <c r="F428" i="5"/>
  <c r="D352" i="5"/>
  <c r="F353" i="5"/>
  <c r="D70" i="5"/>
  <c r="F71" i="5"/>
  <c r="F120" i="5"/>
  <c r="F41" i="5"/>
  <c r="D134" i="5"/>
  <c r="F134" i="5" s="1"/>
  <c r="F135" i="5"/>
  <c r="D467" i="5"/>
  <c r="F468" i="5"/>
  <c r="D431" i="5"/>
  <c r="F432" i="5"/>
  <c r="D286" i="5"/>
  <c r="F287" i="5"/>
  <c r="D240" i="5"/>
  <c r="F240" i="5" s="1"/>
  <c r="F241" i="5"/>
  <c r="F137" i="5"/>
  <c r="D276" i="5"/>
  <c r="D275" i="5" s="1"/>
  <c r="F277" i="5"/>
  <c r="D185" i="5"/>
  <c r="F186" i="5"/>
  <c r="D123" i="5"/>
  <c r="F123" i="5" s="1"/>
  <c r="F124" i="5"/>
  <c r="D516" i="5"/>
  <c r="F517" i="5"/>
  <c r="D458" i="5"/>
  <c r="F459" i="5"/>
  <c r="D389" i="5"/>
  <c r="F390" i="5"/>
  <c r="D201" i="5"/>
  <c r="F202" i="5"/>
  <c r="D423" i="5"/>
  <c r="F424" i="5"/>
  <c r="D373" i="5"/>
  <c r="D196" i="5"/>
  <c r="D195" i="5" s="1"/>
  <c r="F197" i="5"/>
  <c r="D155" i="5"/>
  <c r="F156" i="5"/>
  <c r="D102" i="5"/>
  <c r="F103" i="5"/>
  <c r="D65" i="5"/>
  <c r="F66" i="5"/>
  <c r="D20" i="5"/>
  <c r="F21" i="5"/>
  <c r="D448" i="5"/>
  <c r="F449" i="5"/>
  <c r="D256" i="5"/>
  <c r="F256" i="5" s="1"/>
  <c r="F257" i="5"/>
  <c r="D297" i="5"/>
  <c r="F297" i="5" s="1"/>
  <c r="F298" i="5"/>
  <c r="D94" i="5"/>
  <c r="D384" i="5"/>
  <c r="F385" i="5"/>
  <c r="D345" i="5"/>
  <c r="F346" i="5"/>
  <c r="D180" i="5"/>
  <c r="F181" i="5"/>
  <c r="D86" i="5"/>
  <c r="F86" i="5" s="1"/>
  <c r="F87" i="5"/>
  <c r="F128" i="5"/>
  <c r="D176" i="5"/>
  <c r="F177" i="5"/>
  <c r="D61" i="5"/>
  <c r="F62" i="5"/>
  <c r="D164" i="5"/>
  <c r="F165" i="5"/>
  <c r="D435" i="5"/>
  <c r="D434" i="5" s="1"/>
  <c r="F436" i="5"/>
  <c r="D463" i="5"/>
  <c r="F464" i="5"/>
  <c r="D393" i="5"/>
  <c r="F393" i="5" s="1"/>
  <c r="F394" i="5"/>
  <c r="D253" i="5"/>
  <c r="F254" i="5"/>
  <c r="D47" i="5"/>
  <c r="F47" i="5" s="1"/>
  <c r="D131" i="5"/>
  <c r="D126" i="5" s="1"/>
  <c r="D400" i="5"/>
  <c r="F401" i="5"/>
  <c r="D368" i="5"/>
  <c r="F369" i="5"/>
  <c r="F312" i="5"/>
  <c r="D311" i="5"/>
  <c r="D190" i="5"/>
  <c r="F191" i="5"/>
  <c r="D82" i="5"/>
  <c r="F82" i="5" s="1"/>
  <c r="F83" i="5"/>
  <c r="D280" i="5"/>
  <c r="F281" i="5"/>
  <c r="D221" i="5"/>
  <c r="F221" i="5" s="1"/>
  <c r="F222" i="5"/>
  <c r="F136" i="5"/>
  <c r="D479" i="5"/>
  <c r="F480" i="5"/>
  <c r="D474" i="5"/>
  <c r="F474" i="5" s="1"/>
  <c r="F475" i="5"/>
  <c r="D441" i="5"/>
  <c r="F442" i="5"/>
  <c r="D410" i="5"/>
  <c r="F411" i="5"/>
  <c r="F364" i="5"/>
  <c r="D363" i="5"/>
  <c r="F97" i="5"/>
  <c r="D248" i="5" l="1"/>
  <c r="F327" i="5"/>
  <c r="F218" i="5"/>
  <c r="D262" i="5"/>
  <c r="F262" i="5" s="1"/>
  <c r="F263" i="5"/>
  <c r="F176" i="5"/>
  <c r="D171" i="5"/>
  <c r="D466" i="5"/>
  <c r="D118" i="5"/>
  <c r="D117" i="5" s="1"/>
  <c r="F27" i="5"/>
  <c r="F26" i="5"/>
  <c r="D25" i="5"/>
  <c r="F15" i="5"/>
  <c r="F132" i="5"/>
  <c r="F131" i="5"/>
  <c r="D189" i="5"/>
  <c r="F189" i="5" s="1"/>
  <c r="F190" i="5"/>
  <c r="D367" i="5"/>
  <c r="F367" i="5" s="1"/>
  <c r="F368" i="5"/>
  <c r="D252" i="5"/>
  <c r="F252" i="5" s="1"/>
  <c r="F253" i="5"/>
  <c r="D163" i="5"/>
  <c r="F164" i="5"/>
  <c r="F126" i="5"/>
  <c r="F127" i="5"/>
  <c r="D64" i="5"/>
  <c r="F64" i="5" s="1"/>
  <c r="F65" i="5"/>
  <c r="F423" i="5"/>
  <c r="D515" i="5"/>
  <c r="F516" i="5"/>
  <c r="D310" i="5"/>
  <c r="F310" i="5" s="1"/>
  <c r="F311" i="5"/>
  <c r="D285" i="5"/>
  <c r="F286" i="5"/>
  <c r="F119" i="5"/>
  <c r="F352" i="5"/>
  <c r="D351" i="5"/>
  <c r="D236" i="5"/>
  <c r="F237" i="5"/>
  <c r="D378" i="5"/>
  <c r="F378" i="5" s="1"/>
  <c r="F379" i="5"/>
  <c r="D142" i="5"/>
  <c r="F143" i="5"/>
  <c r="F504" i="5"/>
  <c r="D230" i="5"/>
  <c r="F231" i="5"/>
  <c r="F217" i="5"/>
  <c r="D497" i="5"/>
  <c r="F498" i="5"/>
  <c r="D362" i="5"/>
  <c r="F363" i="5"/>
  <c r="D399" i="5"/>
  <c r="F400" i="5"/>
  <c r="F435" i="5"/>
  <c r="F434" i="5"/>
  <c r="D60" i="5"/>
  <c r="F61" i="5"/>
  <c r="D344" i="5"/>
  <c r="D343" i="5" s="1"/>
  <c r="F345" i="5"/>
  <c r="D93" i="5"/>
  <c r="D19" i="5"/>
  <c r="F19" i="5" s="1"/>
  <c r="F20" i="5"/>
  <c r="F102" i="5"/>
  <c r="F196" i="5"/>
  <c r="F373" i="5"/>
  <c r="D200" i="5"/>
  <c r="F200" i="5" s="1"/>
  <c r="F201" i="5"/>
  <c r="F458" i="5"/>
  <c r="D457" i="5"/>
  <c r="F276" i="5"/>
  <c r="D279" i="5"/>
  <c r="F279" i="5" s="1"/>
  <c r="F280" i="5"/>
  <c r="D462" i="5"/>
  <c r="D461" i="5" s="1"/>
  <c r="F463" i="5"/>
  <c r="F180" i="5"/>
  <c r="D383" i="5"/>
  <c r="F383" i="5" s="1"/>
  <c r="F384" i="5"/>
  <c r="D447" i="5"/>
  <c r="F448" i="5"/>
  <c r="D154" i="5"/>
  <c r="F155" i="5"/>
  <c r="F326" i="5"/>
  <c r="F389" i="5"/>
  <c r="D388" i="5"/>
  <c r="F388" i="5" s="1"/>
  <c r="D184" i="5"/>
  <c r="F185" i="5"/>
  <c r="F96" i="5"/>
  <c r="D409" i="5"/>
  <c r="F410" i="5"/>
  <c r="F467" i="5"/>
  <c r="F487" i="5"/>
  <c r="D440" i="5"/>
  <c r="F440" i="5" s="1"/>
  <c r="F441" i="5"/>
  <c r="D478" i="5"/>
  <c r="F479" i="5"/>
  <c r="F431" i="5"/>
  <c r="F40" i="5"/>
  <c r="D69" i="5"/>
  <c r="F70" i="5"/>
  <c r="D77" i="5"/>
  <c r="F78" i="5"/>
  <c r="D293" i="5"/>
  <c r="F294" i="5"/>
  <c r="F248" i="5"/>
  <c r="F112" i="5"/>
  <c r="D111" i="5"/>
  <c r="D305" i="5"/>
  <c r="F305" i="5" s="1"/>
  <c r="F306" i="5"/>
  <c r="F358" i="5"/>
  <c r="D357" i="5"/>
  <c r="F357" i="5" s="1"/>
  <c r="D356" i="5"/>
  <c r="F356" i="5" s="1"/>
  <c r="F293" i="5" l="1"/>
  <c r="D284" i="5"/>
  <c r="D283" i="5" s="1"/>
  <c r="D261" i="5"/>
  <c r="D260" i="5" s="1"/>
  <c r="D350" i="5"/>
  <c r="D274" i="5"/>
  <c r="D14" i="5"/>
  <c r="F14" i="5" s="1"/>
  <c r="D372" i="5"/>
  <c r="F372" i="5" s="1"/>
  <c r="D247" i="5"/>
  <c r="D246" i="5" s="1"/>
  <c r="D194" i="5"/>
  <c r="D430" i="5"/>
  <c r="F25" i="5"/>
  <c r="D24" i="5"/>
  <c r="F24" i="5" s="1"/>
  <c r="F184" i="5"/>
  <c r="D170" i="5"/>
  <c r="F39" i="5"/>
  <c r="D35" i="5"/>
  <c r="D34" i="5" s="1"/>
  <c r="D33" i="5" s="1"/>
  <c r="F77" i="5"/>
  <c r="D75" i="5"/>
  <c r="D74" i="5" s="1"/>
  <c r="D76" i="5"/>
  <c r="F76" i="5" s="1"/>
  <c r="D485" i="5"/>
  <c r="F486" i="5"/>
  <c r="F324" i="5"/>
  <c r="F325" i="5"/>
  <c r="D59" i="5"/>
  <c r="F60" i="5"/>
  <c r="D496" i="5"/>
  <c r="F497" i="5"/>
  <c r="D141" i="5"/>
  <c r="F142" i="5"/>
  <c r="D110" i="5"/>
  <c r="F111" i="5"/>
  <c r="F351" i="5"/>
  <c r="D514" i="5"/>
  <c r="F515" i="5"/>
  <c r="D162" i="5"/>
  <c r="F163" i="5"/>
  <c r="D68" i="5"/>
  <c r="F68" i="5" s="1"/>
  <c r="F69" i="5"/>
  <c r="F95" i="5"/>
  <c r="D153" i="5"/>
  <c r="F154" i="5"/>
  <c r="F461" i="5"/>
  <c r="F462" i="5"/>
  <c r="F344" i="5"/>
  <c r="D361" i="5"/>
  <c r="F361" i="5" s="1"/>
  <c r="F362" i="5"/>
  <c r="D213" i="5"/>
  <c r="F214" i="5"/>
  <c r="D502" i="5"/>
  <c r="F503" i="5"/>
  <c r="F285" i="5"/>
  <c r="F478" i="5"/>
  <c r="D477" i="5"/>
  <c r="F477" i="5" s="1"/>
  <c r="D408" i="5"/>
  <c r="F409" i="5"/>
  <c r="F447" i="5"/>
  <c r="D445" i="5"/>
  <c r="D446" i="5"/>
  <c r="F446" i="5" s="1"/>
  <c r="D398" i="5"/>
  <c r="F399" i="5"/>
  <c r="D229" i="5"/>
  <c r="F229" i="5" s="1"/>
  <c r="F230" i="5"/>
  <c r="D235" i="5"/>
  <c r="F236" i="5"/>
  <c r="F118" i="5"/>
  <c r="D456" i="5"/>
  <c r="D455" i="5" s="1"/>
  <c r="F457" i="5"/>
  <c r="F247" i="5" l="1"/>
  <c r="D259" i="5"/>
  <c r="D13" i="5"/>
  <c r="F13" i="5" s="1"/>
  <c r="D422" i="5"/>
  <c r="F430" i="5"/>
  <c r="D349" i="5"/>
  <c r="D12" i="5"/>
  <c r="F35" i="5"/>
  <c r="F171" i="5"/>
  <c r="D397" i="5"/>
  <c r="F397" i="5" s="1"/>
  <c r="F398" i="5"/>
  <c r="D342" i="5"/>
  <c r="F343" i="5"/>
  <c r="D417" i="5"/>
  <c r="F418" i="5"/>
  <c r="D407" i="5"/>
  <c r="F408" i="5"/>
  <c r="F284" i="5"/>
  <c r="F213" i="5"/>
  <c r="D152" i="5"/>
  <c r="F152" i="5" s="1"/>
  <c r="F153" i="5"/>
  <c r="D513" i="5"/>
  <c r="F514" i="5"/>
  <c r="D109" i="5"/>
  <c r="F110" i="5"/>
  <c r="D495" i="5"/>
  <c r="F496" i="5"/>
  <c r="D245" i="5"/>
  <c r="F246" i="5"/>
  <c r="F318" i="5"/>
  <c r="D116" i="5"/>
  <c r="F117" i="5"/>
  <c r="D444" i="5"/>
  <c r="F444" i="5" s="1"/>
  <c r="F445" i="5"/>
  <c r="F350" i="5"/>
  <c r="F75" i="5"/>
  <c r="D234" i="5"/>
  <c r="F235" i="5"/>
  <c r="D484" i="5"/>
  <c r="F485" i="5"/>
  <c r="F456" i="5"/>
  <c r="D501" i="5"/>
  <c r="F501" i="5" s="1"/>
  <c r="F502" i="5"/>
  <c r="F94" i="5"/>
  <c r="D161" i="5"/>
  <c r="F162" i="5"/>
  <c r="D140" i="5"/>
  <c r="F141" i="5"/>
  <c r="D58" i="5"/>
  <c r="F58" i="5" s="1"/>
  <c r="F59" i="5"/>
  <c r="D348" i="5" l="1"/>
  <c r="D421" i="5"/>
  <c r="F422" i="5"/>
  <c r="F140" i="5"/>
  <c r="F109" i="5"/>
  <c r="D101" i="5"/>
  <c r="D32" i="5"/>
  <c r="F12" i="5"/>
  <c r="D11" i="5"/>
  <c r="F342" i="5"/>
  <c r="D315" i="5"/>
  <c r="D314" i="5" s="1"/>
  <c r="F34" i="5"/>
  <c r="D160" i="5"/>
  <c r="F160" i="5" s="1"/>
  <c r="F161" i="5"/>
  <c r="F245" i="5"/>
  <c r="F283" i="5"/>
  <c r="D416" i="5"/>
  <c r="F417" i="5"/>
  <c r="F234" i="5"/>
  <c r="F93" i="5"/>
  <c r="D454" i="5"/>
  <c r="D453" i="5" s="1"/>
  <c r="F455" i="5"/>
  <c r="D483" i="5"/>
  <c r="F483" i="5" s="1"/>
  <c r="F484" i="5"/>
  <c r="F317" i="5"/>
  <c r="F495" i="5"/>
  <c r="F466" i="5"/>
  <c r="D512" i="5"/>
  <c r="F513" i="5"/>
  <c r="D209" i="5"/>
  <c r="F210" i="5"/>
  <c r="D406" i="5"/>
  <c r="F407" i="5"/>
  <c r="D115" i="5"/>
  <c r="F116" i="5"/>
  <c r="F170" i="5"/>
  <c r="D420" i="5" l="1"/>
  <c r="F420" i="5" s="1"/>
  <c r="F421" i="5"/>
  <c r="D100" i="5"/>
  <c r="F101" i="5"/>
  <c r="F11" i="5"/>
  <c r="F33" i="5"/>
  <c r="D31" i="5"/>
  <c r="D10" i="5" s="1"/>
  <c r="D405" i="5"/>
  <c r="F405" i="5" s="1"/>
  <c r="F406" i="5"/>
  <c r="F316" i="5"/>
  <c r="F454" i="5"/>
  <c r="F115" i="5"/>
  <c r="F209" i="5"/>
  <c r="D226" i="5"/>
  <c r="F227" i="5"/>
  <c r="F275" i="5"/>
  <c r="D511" i="5"/>
  <c r="F512" i="5"/>
  <c r="F416" i="5"/>
  <c r="D415" i="5"/>
  <c r="F493" i="5"/>
  <c r="F494" i="5"/>
  <c r="F100" i="5" l="1"/>
  <c r="D92" i="5"/>
  <c r="F92" i="5" s="1"/>
  <c r="F74" i="5"/>
  <c r="F10" i="5"/>
  <c r="F31" i="5"/>
  <c r="F32" i="5"/>
  <c r="F348" i="5"/>
  <c r="F349" i="5"/>
  <c r="D225" i="5"/>
  <c r="F226" i="5"/>
  <c r="F453" i="5"/>
  <c r="D414" i="5"/>
  <c r="F415" i="5"/>
  <c r="D510" i="5"/>
  <c r="F510" i="5" s="1"/>
  <c r="F511" i="5"/>
  <c r="F261" i="5"/>
  <c r="F274" i="5"/>
  <c r="F315" i="5"/>
  <c r="F314" i="5"/>
  <c r="D452" i="5" l="1"/>
  <c r="F452" i="5" s="1"/>
  <c r="F225" i="5"/>
  <c r="D208" i="5"/>
  <c r="D413" i="5"/>
  <c r="F414" i="5"/>
  <c r="F260" i="5"/>
  <c r="F259" i="5" l="1"/>
  <c r="D244" i="5"/>
  <c r="D243" i="5" s="1"/>
  <c r="F413" i="5"/>
  <c r="D404" i="5"/>
  <c r="F404" i="5" s="1"/>
  <c r="D207" i="5"/>
  <c r="F208" i="5"/>
  <c r="F244" i="5" l="1"/>
  <c r="D206" i="5"/>
  <c r="D205" i="5" s="1"/>
  <c r="F207" i="5"/>
  <c r="F243" i="5" l="1"/>
  <c r="F205" i="5"/>
  <c r="F206" i="5"/>
  <c r="F195" i="5"/>
  <c r="F194" i="5" l="1"/>
  <c r="D169" i="5"/>
  <c r="D168" i="5" s="1"/>
  <c r="D114" i="5" s="1"/>
  <c r="D9" i="5" s="1"/>
  <c r="F9" i="5" s="1"/>
  <c r="D7" i="5" l="1"/>
  <c r="F7" i="5" s="1"/>
  <c r="F169" i="5"/>
  <c r="F168" i="5" l="1"/>
  <c r="F114" i="5" l="1"/>
</calcChain>
</file>

<file path=xl/sharedStrings.xml><?xml version="1.0" encoding="utf-8"?>
<sst xmlns="http://schemas.openxmlformats.org/spreadsheetml/2006/main" count="1985" uniqueCount="999">
  <si>
    <t>ОТЧЕТ ОБ ИСПОЛНЕНИИ БЮДЖЕТА</t>
  </si>
  <si>
    <t>КОДЫ</t>
  </si>
  <si>
    <t>Форма по ОКУД</t>
  </si>
  <si>
    <t>0503117</t>
  </si>
  <si>
    <t xml:space="preserve">            Дата</t>
  </si>
  <si>
    <t>Наименование</t>
  </si>
  <si>
    <t xml:space="preserve">       по ОКПО</t>
  </si>
  <si>
    <t>финансового органа</t>
  </si>
  <si>
    <t>Глава по БК</t>
  </si>
  <si>
    <t>904</t>
  </si>
  <si>
    <t xml:space="preserve">Наименование публично-правового образования </t>
  </si>
  <si>
    <t>Бюджет городских поселений</t>
  </si>
  <si>
    <t xml:space="preserve">         по ОКТМО</t>
  </si>
  <si>
    <t>25602101</t>
  </si>
  <si>
    <t>Периодичность: месячная, квартальная, годовая</t>
  </si>
  <si>
    <t>Единица измерения:  руб.</t>
  </si>
  <si>
    <t>по ОКЕИ</t>
  </si>
  <si>
    <t>383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</si>
  <si>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</si>
  <si>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</si>
  <si>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</si>
  <si>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</si>
  <si>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</si>
  <si>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</si>
  <si>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</si>
  <si>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</si>
  <si>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</si>
  <si>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</si>
  <si>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</si>
  <si>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</si>
  <si>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</si>
  <si>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</si>
  <si>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 xml:space="preserve">  НАЛОГОВЫЕ И НЕНАЛОГОВЫЕ ДОХОДЫ</t>
  </si>
  <si>
    <t xml:space="preserve">  НАЛОГИ НА ТОВАРЫ (РАБОТЫ, УСЛУГИ), РЕАЛИЗУЕМЫЕ НА ТЕРРИТОРИИ РОССИЙСКОЙ ФЕДЕРАЦИИ</t>
  </si>
  <si>
    <t xml:space="preserve">  Акцизы по подакцизным товарам (продукции), производимым на территории Российской Федерации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</si>
  <si>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</si>
  <si>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</si>
  <si>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</si>
  <si>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</si>
  <si>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 НАЛОГИ НА ПРИБЫЛЬ, ДОХОДЫ</t>
  </si>
  <si>
    <t xml:space="preserve">  Налог на доходы физических лиц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</si>
  <si>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</si>
  <si>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</si>
  <si>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</si>
  <si>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</si>
  <si>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  НАЛОГИ НА СОВОКУПНЫЙ ДОХОД</t>
  </si>
  <si>
    <t xml:space="preserve">  Единый сельскохозяйственный налог</t>
  </si>
  <si>
    <t xml:space="preserve">  НАЛОГИ НА ИМУЩЕСТВО</t>
  </si>
  <si>
    <t xml:space="preserve">  Налог на имущество физических лиц</t>
  </si>
  <si>
    <t xml:space="preserve">  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</si>
  <si>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 xml:space="preserve">  Земельный налог</t>
  </si>
  <si>
    <t xml:space="preserve">  Земельный налог с организаций</t>
  </si>
  <si>
    <t xml:space="preserve">  Земельный налог с организаций, обладающих земельным участком, расположенным в границах городских  поселений</t>
  </si>
  <si>
    <t xml:space="preserve">  Земельный налог с физических лиц</t>
  </si>
  <si>
    <t xml:space="preserve">  Земельный налог с физических лиц, обладающих земельным участком, расположенным в границах  городских  поселений</t>
  </si>
  <si>
    <t>90400000000000000000</t>
  </si>
  <si>
    <t>90410000000000000000</t>
  </si>
  <si>
    <t xml:space="preserve">  ГОСУДАРСТВЕННАЯ ПОШЛИНА</t>
  </si>
  <si>
    <t xml:space="preserve">  Государственная пошлина за государственную регистрацию, а также за совершение прочих юридически значимых действий</t>
  </si>
  <si>
    <t xml:space="preserve">  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</si>
  <si>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 xml:space="preserve">  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</si>
  <si>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 xml:space="preserve">  ЗАДОЛЖЕННОСТЬ И ПЕРЕРАСЧЕТЫ ПО ОТМЕНЕННЫМ НАЛОГАМ, СБОРАМ И ИНЫМ ОБЯЗАТЕЛЬНЫМ ПЛАТЕЖАМ</t>
  </si>
  <si>
    <t>-</t>
  </si>
  <si>
    <t xml:space="preserve">  Налоги на имущество</t>
  </si>
  <si>
    <t xml:space="preserve">  Земельный налог (по обязательствам, возникшим до 1 января 2006 года)</t>
  </si>
  <si>
    <t xml:space="preserve">  Земельный налог (по обязательствам, возникшим до 1 января 2006 года), мобилизуемый на территориях городских поселений</t>
  </si>
  <si>
    <t xml:space="preserve">  Земельный налог (по обязательствам, возникшим до 1 января 2006 года), мобилизуемый на территориях городских поселений (пени по соответствующему платежу)</t>
  </si>
  <si>
    <t xml:space="preserve">  ДОХОДЫ ОТ ИСПОЛЬЗОВАНИЯ ИМУЩЕСТВА, НАХОДЯЩЕГОСЯ В ГОСУДАРСТВЕННОЙ И МУНИЦИПАЛЬНОЙ СОБСТВЕННОСТИ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</si>
  <si>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</si>
  <si>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</si>
  <si>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</si>
  <si>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</si>
  <si>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</si>
  <si>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</si>
  <si>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 xml:space="preserve">  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</si>
  <si>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 xml:space="preserve">  Платежи от государственных и муниципальных унитарных предприятий</t>
  </si>
  <si>
    <t xml:space="preserve">  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</si>
  <si>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 xml:space="preserve">  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</si>
  <si>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</si>
  <si>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</si>
  <si>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 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</si>
  <si>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 ДОХОДЫ ОТ ОКАЗАНИЯ ПЛАТНЫХ УСЛУГ (РАБОТ) И КОМПЕНСАЦИИ ЗАТРАТ ГОСУДАРСТВА</t>
  </si>
  <si>
    <t xml:space="preserve">  Доходы от оказания платных услуг (работ)</t>
  </si>
  <si>
    <t xml:space="preserve">  Плата за оказание услуг по присоединению объектов дорожного сервиса к автомобильным дорогам общего пользования</t>
  </si>
  <si>
    <t xml:space="preserve">  Плата за  оказание услуг по присоединению объектов дорожного сервиса к автомобильным дорогам общего пользования местного значения, зачисляемая в бюджеты городских поселений</t>
  </si>
  <si>
    <t xml:space="preserve">  Прочие доходы от оказания платных услуг (работ)</t>
  </si>
  <si>
    <t xml:space="preserve">  Прочие доходы от оказания платных услуг (работ) получателями средств бюджетов городских поселений</t>
  </si>
  <si>
    <t xml:space="preserve">  ДОХОДЫ ОТ ПРОДАЖИ МАТЕРИАЛЬНЫХ И НЕМАТЕРИАЛЬНЫХ АКТИВОВ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</si>
  <si>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</si>
  <si>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 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</si>
  <si>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 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</si>
  <si>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</si>
  <si>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 Доходы от продажи земельных участков, государственная собственность на которые не разграничена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</si>
  <si>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</si>
  <si>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 ШТРАФЫ, САНКЦИИ, ВОЗМЕЩЕНИЕ УЩЕРБА</t>
  </si>
  <si>
    <t xml:space="preserve">  Денежные взыскания (штрафы) и иные суммы, взыскиваемые с лиц, виновных в совершении преступлений, и в возмещение ущерба имуществу</t>
  </si>
  <si>
    <t xml:space="preserve">  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городских поселений</t>
  </si>
  <si>
    <t xml:space="preserve">  Денежные взыскания (штрафы) за правонарушения в области дорожного движения</t>
  </si>
  <si>
    <t xml:space="preserve">  Денежные взыскания (штрафы) за нарушение правил перевозки крупногабаритных и тяжеловесных грузов по автомобильным дорогам общего пользования</t>
  </si>
  <si>
    <t xml:space="preserve">  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городских поселений</t>
  </si>
  <si>
    <t xml:space="preserve">  Поступления сумм в возмещение вреда, причиняемого автомобильным дорогам транспортными средствами, осуществляющими перевозки тяжеловесных и (или) крупногабаритных грузов</t>
  </si>
  <si>
    <t xml:space="preserve">  Поступления сумм в возмещение вреда, причиняемого автомобильным дорогам местного значения транспортными средствами, осуществляющими перевозки тяжеловесных и  (или) крупногабаритных грузов, зачисляемые в бюджеты городских поселений</t>
  </si>
  <si>
    <t xml:space="preserve">  Денежные взыскания (штрафы), установленные законами субъектов Российской Федерации за несоблюдение муниципальных правовых актов</t>
  </si>
  <si>
    <t xml:space="preserve">  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</si>
  <si>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 xml:space="preserve">  Прочие поступления от денежных взысканий (штрафов) и иных сумм в возмещение ущерба</t>
  </si>
  <si>
    <t xml:space="preserve">  Прочие поступления от денежных взысканий (штрафов) и иных сумм в возмещение ущерба, зачисляемые в бюджеты городских поселений</t>
  </si>
  <si>
    <t xml:space="preserve">  ПРОЧИЕ НЕНАЛОГОВЫЕ ДОХОДЫ</t>
  </si>
  <si>
    <t xml:space="preserve">  Невыясненные поступления</t>
  </si>
  <si>
    <t xml:space="preserve">  Невыясненные поступления, зачисляемые в бюджеты городских поселений</t>
  </si>
  <si>
    <t xml:space="preserve">  Прочие неналоговые доходы</t>
  </si>
  <si>
    <t xml:space="preserve">  Прочие неналоговые доходы бюджетов городских поселений</t>
  </si>
  <si>
    <t>90500000000000000000</t>
  </si>
  <si>
    <t xml:space="preserve">  БЕЗВОЗМЕЗДНЫЕ ПОСТУПЛЕНИЯ</t>
  </si>
  <si>
    <t xml:space="preserve">  БЕЗВОЗМЕЗДНЫЕ ПОСТУПЛЕНИЯ ОТ ДРУГИХ БЮДЖЕТОВ БЮДЖЕТНОЙ СИСТЕМЫ РОССИЙСКОЙ ФЕДЕРАЦИИ</t>
  </si>
  <si>
    <t xml:space="preserve">  Дотации бюджетам бюджетной системы Российской Федерации</t>
  </si>
  <si>
    <t xml:space="preserve">  Дотации на выравнивание бюджетной обеспеченности</t>
  </si>
  <si>
    <t xml:space="preserve">  Дотации бюджетам городских поселений на выравнивание бюджетной обеспеченности</t>
  </si>
  <si>
    <t xml:space="preserve">  Субсидии бюджетам бюджетной системы Российской Федерации (межбюджетные субсидии)</t>
  </si>
  <si>
    <t xml:space="preserve">  Субсидии бюджетам на переселение граждан из жилищного фонда, признанного непригодным для проживания, и (или) жилищного фонда с высоким уровнем износа (более 70 процентов)</t>
  </si>
  <si>
    <t xml:space="preserve">  Субсидии бюджетам городских поселений на переселение граждан из жилищного фонда, признанного непригодным для проживания, и (или) жилищного фонда с высоким уровнем износа (более 70 процентов)</t>
  </si>
  <si>
    <t xml:space="preserve">  Прочие субсидии</t>
  </si>
  <si>
    <t xml:space="preserve">  Прочие субсидии бюджетам городских поселений</t>
  </si>
  <si>
    <t xml:space="preserve">  Субвенции бюджетам бюджетной системы Российской Федерации</t>
  </si>
  <si>
    <t xml:space="preserve">  Субвенции местным бюджетам на выполнение передаваемых полномочий субъектов Российской Федерации</t>
  </si>
  <si>
    <t xml:space="preserve">  Субвенции бюджетам городских поселений на выполнение передаваемых полномочий субъектов Российской Федерации</t>
  </si>
  <si>
    <t xml:space="preserve">  Иные межбюджетные трансферты</t>
  </si>
  <si>
    <t xml:space="preserve">  Прочие межбюджетные трансферты, передаваемые бюджетам</t>
  </si>
  <si>
    <t xml:space="preserve">  Прочие межбюджетные трансферты, передаваемые бюджетам городских поселений</t>
  </si>
  <si>
    <t xml:space="preserve">  ВОЗВРАТ ОСТАТКОВ СУБСИДИЙ, СУБВЕНЦИЙ И ИНЫХ МЕЖБЮДЖЕТНЫХ ТРАНСФЕРТОВ, ИМЕЮЩИХ ЦЕЛЕВОЕ НАЗНАЧЕНИЕ, ПРОШЛЫХ ЛЕТ</t>
  </si>
  <si>
    <t xml:space="preserve">  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</si>
  <si>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 xml:space="preserve">                                              2. Расходы бюджета</t>
  </si>
  <si>
    <t xml:space="preserve">              Форма 0503117  с.2</t>
  </si>
  <si>
    <t>Код расхода по бюджетной классификации</t>
  </si>
  <si>
    <t>Расходы бюджета - всего</t>
  </si>
  <si>
    <t>200</t>
  </si>
  <si>
    <t>90401000000000000000</t>
  </si>
  <si>
    <t>90401020000000000000</t>
  </si>
  <si>
    <t>90401025А10110110000</t>
  </si>
  <si>
    <t>90401025А10110110100</t>
  </si>
  <si>
    <t>90401025А10110110120</t>
  </si>
  <si>
    <t>90401025А10110110121</t>
  </si>
  <si>
    <t>90401025А10110190000</t>
  </si>
  <si>
    <t>90401025А10110190100</t>
  </si>
  <si>
    <t>90401025А10110190120</t>
  </si>
  <si>
    <t>90401025А10110190122</t>
  </si>
  <si>
    <t>90401025А10110190129</t>
  </si>
  <si>
    <t>90401030000000000000</t>
  </si>
  <si>
    <t>90401039100000000000</t>
  </si>
  <si>
    <t>90401039120000000000</t>
  </si>
  <si>
    <t>90401039120010190000</t>
  </si>
  <si>
    <t>90401040000000000000</t>
  </si>
  <si>
    <t>90401045А10210110000</t>
  </si>
  <si>
    <t>90401045А10210110100</t>
  </si>
  <si>
    <t>90401045А10210110120</t>
  </si>
  <si>
    <t>90401045А10210110121</t>
  </si>
  <si>
    <t>90401045А10210190000</t>
  </si>
  <si>
    <t>90401045А10210190100</t>
  </si>
  <si>
    <t>90401045А10210190120</t>
  </si>
  <si>
    <t>90401045А10210190122</t>
  </si>
  <si>
    <t>90401045А10210190129</t>
  </si>
  <si>
    <t>90401045А10210190200</t>
  </si>
  <si>
    <t>90401045А10210190240</t>
  </si>
  <si>
    <t>90401045А10210190244</t>
  </si>
  <si>
    <t>90401045А20119999000</t>
  </si>
  <si>
    <t>90401045А20119999200</t>
  </si>
  <si>
    <t>90401045А20119999240</t>
  </si>
  <si>
    <t>90401045А20119999244</t>
  </si>
  <si>
    <t>90401045А20219999000</t>
  </si>
  <si>
    <t>90401045А20219999200</t>
  </si>
  <si>
    <t>90401045А20219999240</t>
  </si>
  <si>
    <t>90401045А20219999242</t>
  </si>
  <si>
    <t>90401045А30310210000</t>
  </si>
  <si>
    <t>90401045А30310220000</t>
  </si>
  <si>
    <t>90401045А30310220800</t>
  </si>
  <si>
    <t>90401045А30310220850</t>
  </si>
  <si>
    <t>90401045А30310220852</t>
  </si>
  <si>
    <t>90401130000000000000</t>
  </si>
  <si>
    <t>90401135А30110230000</t>
  </si>
  <si>
    <t>90401135А30110240000</t>
  </si>
  <si>
    <t>90401139100000000000</t>
  </si>
  <si>
    <t>90401139110000000000</t>
  </si>
  <si>
    <t>90401139110673150000</t>
  </si>
  <si>
    <t>90403000000000000000</t>
  </si>
  <si>
    <t>90403090000000000000</t>
  </si>
  <si>
    <t>90403095Е10010310000</t>
  </si>
  <si>
    <t>90403140000000000000</t>
  </si>
  <si>
    <t>90403145Е20010320000</t>
  </si>
  <si>
    <t>90403145Е20010320200</t>
  </si>
  <si>
    <t>90403145Е20010320240</t>
  </si>
  <si>
    <t>90403145Е20010320244</t>
  </si>
  <si>
    <t>90403145Е30010330000</t>
  </si>
  <si>
    <t>90404000000000000000</t>
  </si>
  <si>
    <t>90404010000000000000</t>
  </si>
  <si>
    <t>90404019100000000000</t>
  </si>
  <si>
    <t>90404019110000000000</t>
  </si>
  <si>
    <t>90404019110173100000</t>
  </si>
  <si>
    <t>90404019110173100100</t>
  </si>
  <si>
    <t>90404019110173100120</t>
  </si>
  <si>
    <t>90404019110173100121</t>
  </si>
  <si>
    <t>90404019110173100129</t>
  </si>
  <si>
    <t>90404019110173110000</t>
  </si>
  <si>
    <t>90404019110173110100</t>
  </si>
  <si>
    <t>90404050000000000000</t>
  </si>
  <si>
    <t>90404059100000000000</t>
  </si>
  <si>
    <t>90404059150016100000</t>
  </si>
  <si>
    <t>90404060000000000000</t>
  </si>
  <si>
    <t>90404070000000000000</t>
  </si>
  <si>
    <t>90404075Е40210340000</t>
  </si>
  <si>
    <t>90404080000000000000</t>
  </si>
  <si>
    <t>90404090000000000000</t>
  </si>
  <si>
    <t>90404095Д10119999000</t>
  </si>
  <si>
    <t>90404095Д10119999200</t>
  </si>
  <si>
    <t>90404095Д10119999240</t>
  </si>
  <si>
    <t>90404095Д10119999244</t>
  </si>
  <si>
    <t>90404095Д10172370000</t>
  </si>
  <si>
    <t>90404095Д101S2370000</t>
  </si>
  <si>
    <t>90404095Д10219999000</t>
  </si>
  <si>
    <t>90404095Д10319999000</t>
  </si>
  <si>
    <t>90404095Д20110410000</t>
  </si>
  <si>
    <t>90404095Д20219999000</t>
  </si>
  <si>
    <t>90404120000000000000</t>
  </si>
  <si>
    <t>90404125А30210350000</t>
  </si>
  <si>
    <t>90404125А30210350200</t>
  </si>
  <si>
    <t>90404125А30210350240</t>
  </si>
  <si>
    <t>90404125А30210350244</t>
  </si>
  <si>
    <t>90404125А30210360000</t>
  </si>
  <si>
    <t>90404125А30210360200</t>
  </si>
  <si>
    <t>90404125А30210360240</t>
  </si>
  <si>
    <t>90404125А30210360244</t>
  </si>
  <si>
    <t>90404125А30210370000</t>
  </si>
  <si>
    <t>90404125А30210380000</t>
  </si>
  <si>
    <t>90404125А30210390000</t>
  </si>
  <si>
    <t>90404125П00010920000</t>
  </si>
  <si>
    <t>90404129100000000000</t>
  </si>
  <si>
    <t>90404129140000000000</t>
  </si>
  <si>
    <t>90404129140010930000</t>
  </si>
  <si>
    <t>90404129140010930800</t>
  </si>
  <si>
    <t>90404129140010930830</t>
  </si>
  <si>
    <t>90404129140010930831</t>
  </si>
  <si>
    <t>90405000000000000000</t>
  </si>
  <si>
    <t>90405010000000000000</t>
  </si>
  <si>
    <t>90405015А30310460000</t>
  </si>
  <si>
    <t>90405015А30310460200</t>
  </si>
  <si>
    <t>90405015А30310460240</t>
  </si>
  <si>
    <t>90405015А30310470000</t>
  </si>
  <si>
    <t>90405015А30310470200</t>
  </si>
  <si>
    <t>90405015А30310470240</t>
  </si>
  <si>
    <t>90405015А30310470244</t>
  </si>
  <si>
    <t>90405015А30310480000</t>
  </si>
  <si>
    <t>90405015В10110520000</t>
  </si>
  <si>
    <t>90405015В10172480000</t>
  </si>
  <si>
    <t>90405015В101S2480000</t>
  </si>
  <si>
    <t>90405015В20010530000</t>
  </si>
  <si>
    <t>90405015В20010540000</t>
  </si>
  <si>
    <t>90405015В20010540400</t>
  </si>
  <si>
    <t>90405015В20010540410</t>
  </si>
  <si>
    <t>90405015В20010540412</t>
  </si>
  <si>
    <t>90405015Р00110550000</t>
  </si>
  <si>
    <t>90405015Р00210570000</t>
  </si>
  <si>
    <t>90405020000000000000</t>
  </si>
  <si>
    <t>90405025Ж10110610000</t>
  </si>
  <si>
    <t>90405025Ж10110610800</t>
  </si>
  <si>
    <t>90405025Ж10110610810</t>
  </si>
  <si>
    <t>90405025Ж10115150000</t>
  </si>
  <si>
    <t>90405025Ж20110630000</t>
  </si>
  <si>
    <t>90405025Ж20110640000</t>
  </si>
  <si>
    <t>90405025Ж40110660000</t>
  </si>
  <si>
    <t>90405030000000000000</t>
  </si>
  <si>
    <t>90405035Б10219999000</t>
  </si>
  <si>
    <t>90405035Б10219999200</t>
  </si>
  <si>
    <t>90405035Б10219999240</t>
  </si>
  <si>
    <t>90405035Б10219999244</t>
  </si>
  <si>
    <t>90405035Б10319999000</t>
  </si>
  <si>
    <t>90405035Б20119999000</t>
  </si>
  <si>
    <t>90405035Б20219999000</t>
  </si>
  <si>
    <t>90405035Б30119999000</t>
  </si>
  <si>
    <t>90405035Б30119999200</t>
  </si>
  <si>
    <t>90405035Б30119999240</t>
  </si>
  <si>
    <t>90405035Б30119999244</t>
  </si>
  <si>
    <t>90405035Б30219999000</t>
  </si>
  <si>
    <t>90405035Б40010710000</t>
  </si>
  <si>
    <t>90405035Б40010710200</t>
  </si>
  <si>
    <t>90405035Б40010710240</t>
  </si>
  <si>
    <t>90405035Б40010710244</t>
  </si>
  <si>
    <t>90405035Ж30119999000</t>
  </si>
  <si>
    <t>90407000000000000000</t>
  </si>
  <si>
    <t>90407050000000000000</t>
  </si>
  <si>
    <t>90407055А20310130000</t>
  </si>
  <si>
    <t>90407055А20310130200</t>
  </si>
  <si>
    <t>90407055А20310130240</t>
  </si>
  <si>
    <t>90407055А20310130244</t>
  </si>
  <si>
    <t>90407070000000000000</t>
  </si>
  <si>
    <t>90407075М00119999000</t>
  </si>
  <si>
    <t>90407075М00119999200</t>
  </si>
  <si>
    <t>90407075М00119999240</t>
  </si>
  <si>
    <t>90407075М00119999244</t>
  </si>
  <si>
    <t>90410060000000000000</t>
  </si>
  <si>
    <t>90410065С00110810000</t>
  </si>
  <si>
    <t>90410065С00110820000</t>
  </si>
  <si>
    <t>90410065С00110820300</t>
  </si>
  <si>
    <t>90410065С00110820360</t>
  </si>
  <si>
    <t>90410065С00210830000</t>
  </si>
  <si>
    <t>90410065С00210830300</t>
  </si>
  <si>
    <t>90410065С00210830360</t>
  </si>
  <si>
    <t>90410065С00210840000</t>
  </si>
  <si>
    <t>90410065С00210840300</t>
  </si>
  <si>
    <t>90410065С00210840360</t>
  </si>
  <si>
    <t>90410065С00210850000</t>
  </si>
  <si>
    <t>90411000000000000000</t>
  </si>
  <si>
    <t>90411020000000000000</t>
  </si>
  <si>
    <t>90411025М00219999000</t>
  </si>
  <si>
    <t>90411025М00219999200</t>
  </si>
  <si>
    <t>90411025М00219999240</t>
  </si>
  <si>
    <t>90411025М00219999244</t>
  </si>
  <si>
    <t>90501000000000000000</t>
  </si>
  <si>
    <t>90501060000000000000</t>
  </si>
  <si>
    <t>90501065Ф20019999000</t>
  </si>
  <si>
    <t>90501065Ф20019999200</t>
  </si>
  <si>
    <t>90501065Ф20019999240</t>
  </si>
  <si>
    <t>90501065Ф30010110000</t>
  </si>
  <si>
    <t>90501065Ф30010110100</t>
  </si>
  <si>
    <t>90501065Ф30010110120</t>
  </si>
  <si>
    <t>90501065Ф30010110121</t>
  </si>
  <si>
    <t>90501065Ф30010190000</t>
  </si>
  <si>
    <t>90501065Ф30010190100</t>
  </si>
  <si>
    <t>90501065Ф30010190120</t>
  </si>
  <si>
    <t>90501065Ф30010190122</t>
  </si>
  <si>
    <t>90501065Ф30010190129</t>
  </si>
  <si>
    <t>90501065Ф30010190200</t>
  </si>
  <si>
    <t>90501065Ф30010190240</t>
  </si>
  <si>
    <t>90501065Ф30010190244</t>
  </si>
  <si>
    <t>90501110000000000000</t>
  </si>
  <si>
    <t>90501115Ф40010910000</t>
  </si>
  <si>
    <t>90504000000000000000</t>
  </si>
  <si>
    <t>90504080000000000000</t>
  </si>
  <si>
    <t>90504085Д30010420000</t>
  </si>
  <si>
    <t>90504085Д30010420800</t>
  </si>
  <si>
    <t>90504085Д30010420810</t>
  </si>
  <si>
    <t>90505000000000000000</t>
  </si>
  <si>
    <t>90505010000000000000</t>
  </si>
  <si>
    <t>90505015Ж40210680000</t>
  </si>
  <si>
    <t>90505015Ж40210680800</t>
  </si>
  <si>
    <t>90505015Ж40210680810</t>
  </si>
  <si>
    <t>90505020000000000000</t>
  </si>
  <si>
    <t>90505029100000000000</t>
  </si>
  <si>
    <t>90505029130000000000</t>
  </si>
  <si>
    <t>90507000000000000000</t>
  </si>
  <si>
    <t>90507050000000000000</t>
  </si>
  <si>
    <t>90507055А20310130000</t>
  </si>
  <si>
    <t>Результат исполнения бюджета (дефицит / профицит)</t>
  </si>
  <si>
    <t>450</t>
  </si>
  <si>
    <t xml:space="preserve">                        Форма 0503117  с.3</t>
  </si>
  <si>
    <t xml:space="preserve">              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</si>
  <si>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</si>
  <si>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</si>
  <si>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</si>
  <si>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</si>
  <si>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>00000000000000000000</t>
  </si>
  <si>
    <t xml:space="preserve">  Кредиты кредитных организаций в валюте Российской Федерации</t>
  </si>
  <si>
    <t xml:space="preserve">  Получение кредитов от кредитных организаций в валюте Российской Федерации</t>
  </si>
  <si>
    <t xml:space="preserve">  Получение кредитов от кредитных организаций бюджетами городских поселений в валюте Российской Федерации</t>
  </si>
  <si>
    <t>источники внешнего финансирования</t>
  </si>
  <si>
    <t>Изменение остатков средств</t>
  </si>
  <si>
    <t>увеличение остатков средств, всего</t>
  </si>
  <si>
    <t>X</t>
  </si>
  <si>
    <t xml:space="preserve">  Увеличение прочих остатков средств бюджетов</t>
  </si>
  <si>
    <t xml:space="preserve">  Увеличение прочих остатков денежных средств бюджетов</t>
  </si>
  <si>
    <t xml:space="preserve">  Увеличение прочих остатков денежных средств бюджетов городских поселений</t>
  </si>
  <si>
    <t>уменьшение остатков средств, всего</t>
  </si>
  <si>
    <t xml:space="preserve">  Уменьшение прочих остатков средств бюджетов</t>
  </si>
  <si>
    <t xml:space="preserve">  Уменьшение прочих остатков денежных средств бюджетов</t>
  </si>
  <si>
    <t xml:space="preserve">  Уменьшение прочих остатков денежных средств бюджетов городских поселений</t>
  </si>
  <si>
    <t xml:space="preserve">(подпись)          </t>
  </si>
  <si>
    <t>(расшифровка подписи)</t>
  </si>
  <si>
    <t>Расходы на выплаты по оплате труда работникам органов местного самоуправления</t>
  </si>
  <si>
    <t>Непрограммные расходы</t>
  </si>
  <si>
    <t>Исполнение судебных актов и мировых соглашений по искам к муниципальным образованиям о взыскании денежных средств за счет средств местного бюджета</t>
  </si>
  <si>
    <t>Расходы на строительство сетей водоснабжения в районах жилой застройки в рамках полномочий по организации в границах поселения водоснабжения населения</t>
  </si>
  <si>
    <t>90401025А10000000000</t>
  </si>
  <si>
    <t>90401025А10100000000</t>
  </si>
  <si>
    <t>Подпрограмма "Обеспечение деятельности главы Бодайбинского муниципального образования и администрации Бодайбинского городского поселения"</t>
  </si>
  <si>
    <t>90401025А00000000000</t>
  </si>
  <si>
    <t>Муниципальная программа "Муниципальное управление" на 2015-2017 годы</t>
  </si>
  <si>
    <t>Основное мероприятие "Обеспечение деятельности главы Бодайбинского муниципального образования"</t>
  </si>
  <si>
    <t>Расходы на обеспечение деятельности Думы Бодайбинского городского поселения</t>
  </si>
  <si>
    <t>90401039120010190200</t>
  </si>
  <si>
    <t>90401039120010190240</t>
  </si>
  <si>
    <t>90401039120010190244</t>
  </si>
  <si>
    <t>90401045А00000000000</t>
  </si>
  <si>
    <t>90401045А10000000000</t>
  </si>
  <si>
    <t>90401045А10200000000</t>
  </si>
  <si>
    <t>Основное мероприятие "Обеспечение деятельности администрации  Бодайбинского городского поселения"</t>
  </si>
  <si>
    <t>Подпрограмма  "Повышение качества предоставления муниципальных услуг и исполнения муниципальных функций"</t>
  </si>
  <si>
    <t>Основное мероприятие "Обеспечение обнародования (опубликования) информации о деятельности администрации Бодайбинского муниципального образования в средствах массовой информации"</t>
  </si>
  <si>
    <t>90401045А20000000000</t>
  </si>
  <si>
    <t>90401045А20100000000</t>
  </si>
  <si>
    <t>Основное мероприятие "Повышение оснащенности автоматизированных рабочих мест оборудованием, программным обеспечением и высокоскоростной связью для надежного и бесперебойного функционирования локальных сетей"</t>
  </si>
  <si>
    <t>90401045А20200000000</t>
  </si>
  <si>
    <t>Подпрограмма "Управление муниципальной собственностью" на 2015-2017 годы</t>
  </si>
  <si>
    <t>Основное мероприятие  "Выполнение обязательств по владению и пользованию муниципальным имуществом"</t>
  </si>
  <si>
    <t>90401045А30000000000</t>
  </si>
  <si>
    <t>90401045А30300000000</t>
  </si>
  <si>
    <t>90401045А30310210200</t>
  </si>
  <si>
    <t>90401045А30310210240</t>
  </si>
  <si>
    <t>90401045А30310210244</t>
  </si>
  <si>
    <t>90401060000000000000</t>
  </si>
  <si>
    <t>90401069100000000000</t>
  </si>
  <si>
    <t>90401069120000000000</t>
  </si>
  <si>
    <t>Иные межбюджетные трансферты на осуществление полномочий по проведению внешнего муниципального финансового контроля</t>
  </si>
  <si>
    <t>90401069120019300000</t>
  </si>
  <si>
    <t>Межбюджетные трансферты</t>
  </si>
  <si>
    <t>Иные межбюджетные трансферты</t>
  </si>
  <si>
    <t>90401069120019300500</t>
  </si>
  <si>
    <t>90401069120019300540</t>
  </si>
  <si>
    <t>Основное мероприятие  "Организация процесса управления и распоряжения муниципальным имуществом"</t>
  </si>
  <si>
    <t>90401135А00000000000</t>
  </si>
  <si>
    <t>90401135А30000000000</t>
  </si>
  <si>
    <t>90401135А30100000000</t>
  </si>
  <si>
    <t>90401135А30110230200</t>
  </si>
  <si>
    <t>90401135А30110230240</t>
  </si>
  <si>
    <t>90401135А30110230244</t>
  </si>
  <si>
    <t>90401135А30110240200</t>
  </si>
  <si>
    <t>90401135А30110240240</t>
  </si>
  <si>
    <t>90401135А30110240244</t>
  </si>
  <si>
    <t>90401139110673150200</t>
  </si>
  <si>
    <t>90401139110673150240</t>
  </si>
  <si>
    <t>90401139110673150244</t>
  </si>
  <si>
    <t>Муниципальная программа "Обеспечение безопасности населения и территории Бодайбинского муниципального образования" на 2015-2017 годы</t>
  </si>
  <si>
    <t>Подпрограмма "Защита населения и территории Бодайбинского муниципального образования от чрезвычайных ситуаций природного и техногенного характера"</t>
  </si>
  <si>
    <t>90403095Е00000000000</t>
  </si>
  <si>
    <t>90403095Е10000000000</t>
  </si>
  <si>
    <t>90403095Е10010310200</t>
  </si>
  <si>
    <t>90403095Е10010310240</t>
  </si>
  <si>
    <t>90403095Е10010310244</t>
  </si>
  <si>
    <t>90403145Е00000000000</t>
  </si>
  <si>
    <t>Подпрограмма  "Обеспечение первичных мер пожарной безопасности в Бодайбинском муниципальном образовании"</t>
  </si>
  <si>
    <t>90403145Е20000000000</t>
  </si>
  <si>
    <t>Подпрограмма  "Профилактика терроризма и экстремизма в Бодайбинском муниципальном образовании"</t>
  </si>
  <si>
    <t>90403145Е30000000000</t>
  </si>
  <si>
    <t>90403145Е30010330200</t>
  </si>
  <si>
    <t>90403145Е30010330240</t>
  </si>
  <si>
    <t>90403145Е30010330244</t>
  </si>
  <si>
    <t>90404019110173100200</t>
  </si>
  <si>
    <t>90404019110173100240</t>
  </si>
  <si>
    <t>90404019110173100244</t>
  </si>
  <si>
    <t>Осуществление полномочий органов местного самоуправления городского поселения на решение вопросов в соответствии со статьей 14.1 Федерального закона от 06.10.2003 №131ФЗ "Об общих принципах организации местного самоуправления в Россиийской Федерации"</t>
  </si>
  <si>
    <t>90404059150000000000</t>
  </si>
  <si>
    <t>90404059150016100500</t>
  </si>
  <si>
    <t>90404059150016100540</t>
  </si>
  <si>
    <t>Подпрограмма  "Защита окружающей среды Бодайбинского муниципального образования на 2015-2017 годы"</t>
  </si>
  <si>
    <t>Основное мероприятие "Капитальный ремонт гидротехнического сооружения (защитная дамба)"</t>
  </si>
  <si>
    <t>90404065Е00000000000</t>
  </si>
  <si>
    <t>90404065Е40000000000</t>
  </si>
  <si>
    <t>90404065Е40100000000</t>
  </si>
  <si>
    <t>Закупка товаров,работ, услуг в целях капитального ремонта государственного (муниципального) имущества</t>
  </si>
  <si>
    <t>90404075Е00000000000</t>
  </si>
  <si>
    <t>Основное мероприятие "Таксация лесов и разработка лесохозяйственного регламента лесных участков в границах Бодайбинского муниципального образования"</t>
  </si>
  <si>
    <t>90404075Е40000000000</t>
  </si>
  <si>
    <t>90404075Е40200000000</t>
  </si>
  <si>
    <t>90404075Е40210340200</t>
  </si>
  <si>
    <t>90404075Е40210340240</t>
  </si>
  <si>
    <t>90404075Е40210340244</t>
  </si>
  <si>
    <t>Муниципальная программа "Дорожная деятельность и транспортное обслуживание на территории Бодайбинского муниципального образования" на 2015-2017 годы</t>
  </si>
  <si>
    <t>Подпрограмма  "Транспортное обслуживание"</t>
  </si>
  <si>
    <t>Основное мероприятие "Проведение оценки уязвимости транспортных средств"</t>
  </si>
  <si>
    <t>90404085Д00000000000</t>
  </si>
  <si>
    <t>90404085Д30000000000</t>
  </si>
  <si>
    <t>90404085Д30100000000</t>
  </si>
  <si>
    <t>90404095Д00000000000</t>
  </si>
  <si>
    <t>Подпрограмма "Дорожный фонд"</t>
  </si>
  <si>
    <t>90404095Д10000000000</t>
  </si>
  <si>
    <t>Основное мероприятие "Содержание и текущий ремонт действующей сети автомобильных дорог общего пользования поселения, сооружений на них и элементов обустройства автомобильных дорог"</t>
  </si>
  <si>
    <t>90404095Д10100000000</t>
  </si>
  <si>
    <t>90404095Д10172370200</t>
  </si>
  <si>
    <t>90404095Д10172370240</t>
  </si>
  <si>
    <t>90404095Д10172370244</t>
  </si>
  <si>
    <t>90404095Д101S2370200</t>
  </si>
  <si>
    <t>90404095Д101S2370240</t>
  </si>
  <si>
    <t>90404095Д101S2370244</t>
  </si>
  <si>
    <t>Основное мероприятие "Капитальный ремонт и ремонт автомобильных дорог общего пользования поселения, сооружений ни них и элементов обустройства автомобильных дорог"</t>
  </si>
  <si>
    <t>90404095Д10200000000</t>
  </si>
  <si>
    <t>90404095Д10219999200</t>
  </si>
  <si>
    <t>90404095Д10219999240</t>
  </si>
  <si>
    <t>90404095Д10219999244</t>
  </si>
  <si>
    <t>90404095Д10319999200</t>
  </si>
  <si>
    <t>90404095Д10319999240</t>
  </si>
  <si>
    <t>90404095Д10319999244</t>
  </si>
  <si>
    <t>Подпрограмма "Повышение безопасности дорожного движения и развития улично-дорожной сети"</t>
  </si>
  <si>
    <t>Основное мероприятие "Совершенствование деятельности по организации дорожного движения"</t>
  </si>
  <si>
    <t>90404095Д20000000000</t>
  </si>
  <si>
    <t>90404095Д20100000000</t>
  </si>
  <si>
    <t>90404095Д20110410200</t>
  </si>
  <si>
    <t>90404095Д20110410240</t>
  </si>
  <si>
    <t>90404095Д20110410244</t>
  </si>
  <si>
    <t>Основное мероприятие "Разработка проекта по капитальному ремонту автомобильной дороги"</t>
  </si>
  <si>
    <t>90404095Д20200000000</t>
  </si>
  <si>
    <t>90404095Д20219999200</t>
  </si>
  <si>
    <t>90404095Д20219999240</t>
  </si>
  <si>
    <t>90404095Д20219999244</t>
  </si>
  <si>
    <t>Подпрограмма  "Управление муниципальной собственностью" на 2015-2017 годы</t>
  </si>
  <si>
    <t>Основное мероприятие  "Организация процесса упарвления и распоряжения земельными участками"</t>
  </si>
  <si>
    <t>90404125А00000000000</t>
  </si>
  <si>
    <t>90404125А30000000000</t>
  </si>
  <si>
    <t>90404125А30200000000</t>
  </si>
  <si>
    <t>90404125А30210370200</t>
  </si>
  <si>
    <t>90404125А30210370240</t>
  </si>
  <si>
    <t>90404125А30210370244</t>
  </si>
  <si>
    <t>90404125А30210380200</t>
  </si>
  <si>
    <t>90404125А30210380240</t>
  </si>
  <si>
    <t>90404125А30210380244</t>
  </si>
  <si>
    <t>90404125А30210390200</t>
  </si>
  <si>
    <t>90404125А30210390240</t>
  </si>
  <si>
    <t>90404125А30210390244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</si>
  <si>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</si>
  <si>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</si>
  <si>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Расходы на выплату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</si>
  <si>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</si>
  <si>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</t>
  </si>
  <si>
    <t>Расходы на обеспечение функций органов местного самоуправления</t>
  </si>
  <si>
    <t>Иные выплаты персоналу государственных (муниципальных) органов, за исключением фонда оплаты труда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</si>
  <si>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(муниципальных) органов 
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</si>
  <si>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</si>
  <si>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</si>
  <si>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государственных (муниципальных) нужд</t>
  </si>
  <si>
    <t>Прочая закупка товаров, работ и услуг для  обеспечения государственных (муниципальных) нужд</t>
  </si>
  <si>
    <t>Функционирование Правительства Российской Федерации, высших органов государственной власти субъектов Российской Федерации, местных администраций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</si>
  <si>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(муниципальных) органов
</t>
  </si>
  <si>
    <t>Реализация направлений расходов основного мероприятия подпрограммы муниципальной программы Бодайбинского муниципального образования, а также непрограммным направлениям расходов</t>
  </si>
  <si>
    <t>Закупка товаров, работ и услуг в сфере информационно-коммуникационных технологий</t>
  </si>
  <si>
    <t>Расходы на поддержание технических и эксплуатационных показателей объектов муниципальной собственности</t>
  </si>
  <si>
    <t>Расходы на исполнение налоговых обязательств органов местного самоуправления, уплата сборов и иных платежей</t>
  </si>
  <si>
    <t>Иные бюджетные ассигнования</t>
  </si>
  <si>
    <t>Уплата налогов, сборов и иных платежей</t>
  </si>
  <si>
    <t>Уплата прочих налогов, сборов и иных платежей</t>
  </si>
  <si>
    <t>Обеспечение деятельности финансовых, налоговых, таможенных органов и органов финансового  надзора</t>
  </si>
  <si>
    <t>Другие общегосударственные вопросы</t>
  </si>
  <si>
    <t>Расходы на проведение технической инвентаризации и паспортизации объектов муниципального имущества, с целью постановки их на государственный кадастровый учет и регистрации права собственности на объекты муниципального имущества</t>
  </si>
  <si>
    <t>Расходы на проведение рыночной оценки приватизируемого или предоставляемого в аренду муниципального имущества</t>
  </si>
  <si>
    <t xml:space="preserve">Осуществление отдельных областных полномочий </t>
  </si>
  <si>
    <t>Осуществление областного государственного полномочия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отдельными законами Иркутской области об административной отвественности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</si>
  <si>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</si>
  <si>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</si>
  <si>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Расходы на осуществление деятельности органов местного самоуправления в сфере защиты населения и территорий от чрезвычайных ситуаций</t>
  </si>
  <si>
    <t>Другие вопросы в области национальной безопасности и правоохранительной деятельности</t>
  </si>
  <si>
    <t>Расходы на осуществление деятельности органов местного самоуправления по обеспечению первичных мер пожарной безопасности</t>
  </si>
  <si>
    <t>Расходы на осуществление деятельности органов местного самоуправления по профилактике терроризма и экстремизма</t>
  </si>
  <si>
    <t>НАЦИОНАЛЬНАЯ ЭКОНОМИКА</t>
  </si>
  <si>
    <t>Общеэкономические вопросы</t>
  </si>
  <si>
    <t>Расходы на осуществление отдельных областных государственных полномочий в области регулирования тарифов на товары и услуги организаций коммунального комплекса</t>
  </si>
  <si>
    <t>Расходы на осуществление отдельных областных государственных полномочий в сфере водоснабжения и водоотведения</t>
  </si>
  <si>
    <t>Сельское хозяйство и рыболовство</t>
  </si>
  <si>
    <t>Иные межбюджетные трансферты на осуществление мероприятий по отлову и содержанию безнадзорных животных, обитающих на территории поселения</t>
  </si>
  <si>
    <t>Водное хозяйство</t>
  </si>
  <si>
    <t>Лесное хозяйство</t>
  </si>
  <si>
    <t>Расходы на осуществление муниципального лесного контроля органами местного самоуправления</t>
  </si>
  <si>
    <t xml:space="preserve">Транспорт </t>
  </si>
  <si>
    <t>Дорожное хозяйство (Дорожные фонды)</t>
  </si>
  <si>
    <t>Расходы на осуществление дорожной деятельности в рамках реализация перечня проектов народных инициатив</t>
  </si>
  <si>
    <t xml:space="preserve">Расходы на осуществление дорожной деятельности в рамках софинансирования реализации перечня проектов народных инициатив </t>
  </si>
  <si>
    <t>Основное мероприятие "Ремонт автомобильных дорог, образующих проезды к территориям, прилегающим к многоквартирным домам (внутриквартальные проезды), а также их элементов и сооружений на них"</t>
  </si>
  <si>
    <t>Расходы на осуществление дорожной деятельности в сфере повышения информативности дорожной сети</t>
  </si>
  <si>
    <t>Другие вопросы в области национальной экономики</t>
  </si>
  <si>
    <t>Расходы на проведение межевания земельных участков с целью постановки их на государственный кадастровый учет и регистрации права собственности на земельные участки</t>
  </si>
  <si>
    <t>Расходы на проведение рыночной оценки приватизируемых или предоставляемых в аренду земельных участков</t>
  </si>
  <si>
    <t>Расходы на проведение инженерных изысканий на земельных участках, отводимых в целях строительства объектов муниципальной собственности</t>
  </si>
  <si>
    <t>Расходы на разработку документации по планировке территории муниципального образования</t>
  </si>
  <si>
    <t>Расходы на осуществление органами местного самоуправления других полномочий в сфере архитектуры и градостроительства</t>
  </si>
  <si>
    <t>Муниципальная программа "Поддержка и развитие малого и среднего предпринимательства на территории Бодайбинского муниципального образования" на 2014-2016 годы</t>
  </si>
  <si>
    <t>Расходы по осуществлению органами местного самоуправления полномочий по созданию условий для развития малого и среднего предпринимательства</t>
  </si>
  <si>
    <t>Расходы на исполнение судебных актов и мировых соглашений по обращению взыскания на средства бюджета Бодайбинского муниципального образования</t>
  </si>
  <si>
    <t>Исполнения судебных актов</t>
  </si>
  <si>
    <t>Исполнение судебных актов РФ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</si>
  <si>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>ЖИЛИЩНО-КОММУНАЛЬНОЕ ХОЗЯЙСТВО</t>
  </si>
  <si>
    <t>Жилищное хозяйство</t>
  </si>
  <si>
    <t>Расходы поддержание технических и эксплуатационных показателей многоквартирных жилых домов</t>
  </si>
  <si>
    <t>Закупка товаров, работ, услуг в целях капитального ремонта государственного (муниципального) имущества</t>
  </si>
  <si>
    <t>Расходы на исполнение обязательств по уплате взносов на капитальный ремонт многоквартирных жилых домов</t>
  </si>
  <si>
    <t>Расходы на софинансирование мероприятий по капитальному ремонту многоквартирных жилых домов</t>
  </si>
  <si>
    <t>Предоставление субсидий бюджетным, автономным учреждениям и иным некоммерческим организациям</t>
  </si>
  <si>
    <t>Субсидии некоммерческим организациям (за исключением государственных (муниципальных) учреждений)</t>
  </si>
  <si>
    <t>Муниципальная программа "Переселение граждан из ветхого и аварийного жилищного фонда Бодайбинского муниципального образования на период на 2014-2016 годов"</t>
  </si>
  <si>
    <t>Подпрограмма  "Переселение граждан, проживающих на территории Бодайбинского муниципального образования, из аварийного жилищного фонда, признанного непригодным для проживания" на 2014-2016 годы</t>
  </si>
  <si>
    <t>Основное мероприятие: "Обеспечение жильем граждан, проживающих в домах, признанных непригодными для постоянного проживания"</t>
  </si>
  <si>
    <t xml:space="preserve">Расходы на обеспечение жильем граждан, проживающих в домах, признанных непригодными для постоянного проживания </t>
  </si>
  <si>
    <t>Капитальные вложения в объекты недвижимого имущества государственной (муниципальной) собственности</t>
  </si>
  <si>
    <t>Бюджетные инвестиции</t>
  </si>
  <si>
    <t>Бюджетные инвестиции на приобретение объектов недвижимого имущества в государственную (муниципальную) собственность</t>
  </si>
  <si>
    <t>Расходы на строительство и (или) приобретение, реконструкцию жилых помещений</t>
  </si>
  <si>
    <t>Расходы на оплату стоимости жилых помещений по цене, превышающей норматив стоимости 1 кв.м. жилого помещения либо стоимости площади жилого помещения, превышающей норму площади, установленную законодательством</t>
  </si>
  <si>
    <t>Подпрограмма  "Переселение граждан из аварийного жилищного фонда г. Бодайбо" на 2014-2016 годы</t>
  </si>
  <si>
    <t>Расходы на осуществление органами местного самоуправления полномочий по обеспечению нуждающихся в жилых помещениях</t>
  </si>
  <si>
    <t>Расходы на осуществление органами местного самоуправления полномочий по обеспечению нуждающихся в жилых помещениях по исполнению судебных актов и мировых соглашений</t>
  </si>
  <si>
    <t>Муниципальная программа "Переселение граждан из жилых помещений, расположенных в зоне БАМ, признанных непригодными для проживания, и (или) жилых помещений с высоким уровнем износа (Более 70%) на территории Бодайбинского муниципального образования" на 2014-2016 годы</t>
  </si>
  <si>
    <t>Основное мероприятие «Обеспечение жильем граждан, проживающих в жилых помещениях, признанных непригодными для проживания, расположенных в зоне БАМа»</t>
  </si>
  <si>
    <t>Финансовое обеспечение мероприятий по переселению граждан из ветхого и аварийного жилья в зоне Байкало-Амурской магистрали</t>
  </si>
  <si>
    <t>Расходы на обеспечение жильем граждан, проживающих в жилых помещениях, признанных непригодными для проживания, расположенных в зоне БАМа</t>
  </si>
  <si>
    <t>Капитальные вложения в объекты недвижимого  имущества государственной (муниципальной) собственности</t>
  </si>
  <si>
    <t>Расходы на строительство и (или) приобретение, реконструкцию жилых помещений в целях обеспечения жильем граждан, проживающих в жилых помещениях, признанных непригодными для проживания, расположенных в зоне БАМа</t>
  </si>
  <si>
    <t>Расходы на оплату стоимости жилых помещений по цене, превышающей норматив стоимости 1 кв.м. жилого помещения либо стоимости площади жилого помещения, превышающей норму площади, установленную законодательством в целях обеспечения жильем граждан, проживающих в жилых помещениях, признанных непригодными для проживания, расположенных в зоне БАМа</t>
  </si>
  <si>
    <t>Основное мероприятие "Реализация прочих мероприятий по переселению граждан из ветхого и аварийного жилья в зоне Байкало-Амурской магистрали"</t>
  </si>
  <si>
    <t xml:space="preserve">Расходы на проведение оценки рыночной стоимости жилых помещений </t>
  </si>
  <si>
    <t>Расходы на снос жилых помещений, признанных непригодными для проживания, и (или) жилых помещений с высоким уровнем износа, расположенных в зоне БАМа</t>
  </si>
  <si>
    <t>Коммунальное хозяйство</t>
  </si>
  <si>
    <t>Муниципальная программа "Развитие жилищно-коммунального хозяйства на территории Бодайбинского муниципального образования" на 2015-2017 годы</t>
  </si>
  <si>
    <t>Подпрограмма "Модернизация объектов коммунальной инфраструктуры города Бодайбо на 2015-2017 годы"</t>
  </si>
  <si>
    <t>Основное мероприятие "Реализация первоочередных мероприятий по модернизации объектов коммунальной инфраструктуры г. Бодайбо"</t>
  </si>
  <si>
    <t>Расходы на капитальный ремонт инженерных сетей, котельного и вспомогательного оборудования в котельных</t>
  </si>
  <si>
    <t>Субсидии юридическим лицам (кроме некоммерческих организаций), индивидуальным предпринимателям, физическим лицам -производителям товаров, работ, услуг</t>
  </si>
  <si>
    <t>Иные межбюджетные трансферты на капитальный, текущий ремонт котельного и вспомогательного оборудования котельных</t>
  </si>
  <si>
    <t>Подпрограмма  "Чистая вода" на 2015-2017 годы</t>
  </si>
  <si>
    <t>Основное мероприятие "Развитие системы водоснабжения"</t>
  </si>
  <si>
    <t>Ремонт сетей летнего водоснабжения в микрорайоне Бисяга за счет средств бюджета Бодайбинского муниципального образования</t>
  </si>
  <si>
    <t>Основное мероприятие "Реализация первоочередных мероприятий по ремонту систем и объектов водоснабжения"</t>
  </si>
  <si>
    <t>Расходы на ремонт сетей водоснабжения в рамках полномочий по организации в границах поселения водоснабжения населения</t>
  </si>
  <si>
    <t>Подпрограмма "Развитие системы водоотведения г. Бодайбо на 2015-2017 годы"</t>
  </si>
  <si>
    <t>Основное мероприятие "Проектирование, ремонт и строительство систем и объектов водоотведения"</t>
  </si>
  <si>
    <t>Расходы на ремонт сетей и объектов водоотведения в рамках полномочий по организации в границиах поселения водоотведения</t>
  </si>
  <si>
    <t>Благоустройство</t>
  </si>
  <si>
    <t>Муниципальная программа "Комплексное благоустройство, содержание и озеленение территории Бодайбинского муниципального образования" на 2015-2017 годы</t>
  </si>
  <si>
    <t>Подпрограмма "Благоустройство"</t>
  </si>
  <si>
    <t>Основное мероприятие "Содержание в чистоте мест общего пользования и поддержание функциональных характеристик имущества, элементов благоустройства, находящихся на территории мест общего пользования"</t>
  </si>
  <si>
    <t>Основное мероприятие "Строительство, реконструкция, капитальный ремонт имущества, элементов благоустройства, находящихся на территории мест общего пользования"</t>
  </si>
  <si>
    <t>Подпрограмма  "Озеленение"</t>
  </si>
  <si>
    <t>Основное мероприятие "Формовочная и санитарная обрезка деревьев"</t>
  </si>
  <si>
    <t>Основное мероприятие "Содержание клумб и цветников"</t>
  </si>
  <si>
    <t xml:space="preserve">Подпрограмма "Освещение" </t>
  </si>
  <si>
    <t>Основное мероприятие "Обеспечение бесперебойного освещения территории Бодайбинского муниципального образования"</t>
  </si>
  <si>
    <t>Основное мероприятие "Строительство линий уличного освещения"</t>
  </si>
  <si>
    <t>Бюджетные инвестиции в объекты капитального строительства госудрственной (муниципальной) собственности</t>
  </si>
  <si>
    <t>Подпрограмма  "Развитие сферы похоронного дела на территории Бодайбинского муниципального образования на период 2015-2017 годы"</t>
  </si>
  <si>
    <t>Расходы органов местного самоуправления в сфере организации ритуальных услуг и содержания мест захоронения</t>
  </si>
  <si>
    <t>Подпрограмма "Безопасный двор"</t>
  </si>
  <si>
    <t>Расходы на строительство наружного освещения детских игровых комплексов, установленных на территориях МКД</t>
  </si>
  <si>
    <t>Расходы на установку камер видеонаблюдения на территориях детских игровых комплексов</t>
  </si>
  <si>
    <t>Подпрограмма  "Энергосбережение и повышение энергетической эффективности г. Бодайбо" на 2015-2017 годы</t>
  </si>
  <si>
    <t>Основное мероприятие "Оснащение приборами учета линий уличного освещения"</t>
  </si>
  <si>
    <t>ОБРАЗОВАНИЕ</t>
  </si>
  <si>
    <t>Профессиональная подготовка, переподготовка и повышение квалификации</t>
  </si>
  <si>
    <t>Подпрограмма "Повышение качества предоставления муниципальных услуг и исполнения муниципальных функций"</t>
  </si>
  <si>
    <t>Основное мероприятие "Профессиональная подготовка, переподготовка и повышение квалификации муниципальных служащих"</t>
  </si>
  <si>
    <t>Расходы на дополнительное профессиональное образование и повышение квалификации муниципальных служащих</t>
  </si>
  <si>
    <t>Молодежная политика</t>
  </si>
  <si>
    <t>Муниципальная программа "Молодежь и поддержка физической культуры и спорта на территории Бодайбинского муниципального образования" на 2015-2017 годы</t>
  </si>
  <si>
    <t>Основное мероприятие "Организация и проведение мероприятий для детей и молодежи"</t>
  </si>
  <si>
    <t>СОЦИАЛЬНАЯ ПОЛИТИКА</t>
  </si>
  <si>
    <t>Другие вопросы в области социальной политики</t>
  </si>
  <si>
    <t>Муниципальная программа "Социальная поддержка населения Бодайбинского муниципального образования" на 2015-2017 годы</t>
  </si>
  <si>
    <t>Основное мероприятие "Оказание социальной поддержки и адресной социальной помощи отдельным категориям граждан и семей"</t>
  </si>
  <si>
    <t>Расходы на предоставление адресной социальной помощи гражданам, оказавшимся в трудной жизненной ситуации</t>
  </si>
  <si>
    <t>Социальное обеспечение и иные выплаты населению</t>
  </si>
  <si>
    <t xml:space="preserve">Иные выплаты населению </t>
  </si>
  <si>
    <t>Возмещение расходов по обеспечению равной доступности транспортных услуг для многодетных, малообеспеченных семей, школьников, студентов, неработающих пенсионеров</t>
  </si>
  <si>
    <t>Основное мероприятие "Социальная поддержка отдельных категорий граждан старшего поколения"</t>
  </si>
  <si>
    <t>Возмещение недополученных доходов от оказания услуг бани за неработающих пенсионеров, получающих минимальную пенсию, за участников ВОВ</t>
  </si>
  <si>
    <t>Финансовое обеспечение общегородских мероприятий, посвященных декадам, датам истории Отечества, направленных на уважительное отношение к институту семьи, материнства, к людям старшего поколения</t>
  </si>
  <si>
    <t>Проведение ремонта в квартирах ветеранов ВОВ, а также приравненным к ним отдельных категорий граждан, проживающих в Бодайбинском муниципальном образовании</t>
  </si>
  <si>
    <t>ФИЗИЧЕСКАЯ КУЛЬТУРА  И СПОРТ</t>
  </si>
  <si>
    <t>Массовый спорт</t>
  </si>
  <si>
    <t>Основное мероприятие "Организация и проведение спортивных мероприятий"</t>
  </si>
  <si>
    <t>Финансовое управление Бодайбинского городского поселения</t>
  </si>
  <si>
    <t>Муниципальная программа  "Муниципальные финансы" на 2015-2017 годы</t>
  </si>
  <si>
    <t>Подпрограмма "Совершенствование системы управления бюджетными расходами"</t>
  </si>
  <si>
    <t>Подпрограмма "Обеспечение реализации муниципальной программы"</t>
  </si>
  <si>
    <t>Резервные фонды</t>
  </si>
  <si>
    <t>Подпрограмма "Исполнение отдельных полномочий по учету средств резервного фонда администрации Бодайбинского городского поселения"</t>
  </si>
  <si>
    <t>Резервный фонд администрации Бодайбинского городского поселения</t>
  </si>
  <si>
    <t>Резервные средства</t>
  </si>
  <si>
    <t xml:space="preserve">НАЦИОНАЛЬНАЯ ЭКОНОМИКА </t>
  </si>
  <si>
    <t>Транспорт</t>
  </si>
  <si>
    <t xml:space="preserve">Субсидии в целях возмещения недополученных доходов в связи с оказанием услуг по городским пассажирским перевозкам </t>
  </si>
  <si>
    <t>Подпрограмма  "Развитие системы водоотведения г. Бодайбо на 2015-2017 годы"</t>
  </si>
  <si>
    <t>Основное мероприятие "Финансовое возмещение затрат в связи с оказанием жилищных услуг по отдельным категориям жилищного фонда"</t>
  </si>
  <si>
    <t>Субсидии в целях возмещения недополученных доходов организациям, предоставляющим жилищные услуги населению</t>
  </si>
  <si>
    <t>Непрограммные расходы в сфере коммунального хозяйства</t>
  </si>
  <si>
    <t>Субсидии в целях возмещения недополученных доходов при оказании услуг коммунально-бытового назначения (муниципальная баня)</t>
  </si>
  <si>
    <t>904040191101731101120</t>
  </si>
  <si>
    <t>904040191101731101121</t>
  </si>
  <si>
    <t>904040191101731101129</t>
  </si>
  <si>
    <t>904040191101731101200</t>
  </si>
  <si>
    <t>904040191101731101240</t>
  </si>
  <si>
    <t>904040191101731101244</t>
  </si>
  <si>
    <t>90404095Д10300000000</t>
  </si>
  <si>
    <t>90404125П00000000000</t>
  </si>
  <si>
    <t>90404125П00010920200</t>
  </si>
  <si>
    <t>90404125П00010920240</t>
  </si>
  <si>
    <t>90404125П00010920244</t>
  </si>
  <si>
    <t>90404129140010930200</t>
  </si>
  <si>
    <t>90404129140010930240</t>
  </si>
  <si>
    <t>90404129140010930244</t>
  </si>
  <si>
    <t>90405015А00000000000</t>
  </si>
  <si>
    <t>90405015А30000000000</t>
  </si>
  <si>
    <t>90405015А30300000000</t>
  </si>
  <si>
    <t>90405015А30310460244</t>
  </si>
  <si>
    <t>90405015А30310480600</t>
  </si>
  <si>
    <t>90405015А30310480630</t>
  </si>
  <si>
    <t>90405015В00000000000</t>
  </si>
  <si>
    <t>90405015В10000000000</t>
  </si>
  <si>
    <t>90405015В10100000000</t>
  </si>
  <si>
    <t>90405015В10172480400</t>
  </si>
  <si>
    <t>90405015В10172480410</t>
  </si>
  <si>
    <t>90405015В10172480412</t>
  </si>
  <si>
    <t>90405015В101S2480400</t>
  </si>
  <si>
    <t>90405015В101S2480410</t>
  </si>
  <si>
    <t>90405015В101S2480412</t>
  </si>
  <si>
    <t>90405015В10110520400</t>
  </si>
  <si>
    <t>90405015В10110520410</t>
  </si>
  <si>
    <t>90405015В10110520412</t>
  </si>
  <si>
    <t>90405015В20000000000</t>
  </si>
  <si>
    <t>90405015В20010530200</t>
  </si>
  <si>
    <t>90405015В20010530240</t>
  </si>
  <si>
    <t>90405015В20010530244</t>
  </si>
  <si>
    <t>90405015Р00000000000</t>
  </si>
  <si>
    <t>90405015Р00100000000</t>
  </si>
  <si>
    <t>90405015Р00150230000</t>
  </si>
  <si>
    <t>90405015Р00150230400</t>
  </si>
  <si>
    <t>90405015Р00150230410</t>
  </si>
  <si>
    <t>90405015Р00150230412</t>
  </si>
  <si>
    <t>90405015Р00110550400</t>
  </si>
  <si>
    <t>90405015Р00110550410</t>
  </si>
  <si>
    <t>90405015Р00110550412</t>
  </si>
  <si>
    <t>90405015Р00200000000</t>
  </si>
  <si>
    <t>90405015Р00210560000</t>
  </si>
  <si>
    <t>90405015Р00210560200</t>
  </si>
  <si>
    <t>90405015Р00210560240</t>
  </si>
  <si>
    <t>90405015Р00210560244</t>
  </si>
  <si>
    <t>90405015Р00210570200</t>
  </si>
  <si>
    <t>90405015Р00210570240</t>
  </si>
  <si>
    <t>90405015Р00210570244</t>
  </si>
  <si>
    <t>90405025Ж00000000000</t>
  </si>
  <si>
    <t>90405025Ж10000000000</t>
  </si>
  <si>
    <t>90405025Ж10100000000</t>
  </si>
  <si>
    <t>90405025Ж10115150800</t>
  </si>
  <si>
    <t>90405025Ж10115150810</t>
  </si>
  <si>
    <t>90405025Ж20000000000</t>
  </si>
  <si>
    <t>90405025Ж20100000000</t>
  </si>
  <si>
    <t>90405025Ж20110630200</t>
  </si>
  <si>
    <t>90405025Ж20110630240</t>
  </si>
  <si>
    <t>90405025Ж20110630244</t>
  </si>
  <si>
    <t>90405025Ж20110640200</t>
  </si>
  <si>
    <t>90405025Ж20110640240</t>
  </si>
  <si>
    <t>90405025Ж20110640244</t>
  </si>
  <si>
    <t>90405025Ж20200000000</t>
  </si>
  <si>
    <t>90405025Ж20210650000</t>
  </si>
  <si>
    <t>90405025Ж20210650200</t>
  </si>
  <si>
    <t>90405025Ж20210650240</t>
  </si>
  <si>
    <t>90405025Ж20210650244</t>
  </si>
  <si>
    <t>90405025Ж40000000000</t>
  </si>
  <si>
    <t>90405025Ж40100000000</t>
  </si>
  <si>
    <t>90405025Ж40110660200</t>
  </si>
  <si>
    <t>90405025Ж40110660240</t>
  </si>
  <si>
    <t>90405025Ж40110660244</t>
  </si>
  <si>
    <t>90405035Б00000000000</t>
  </si>
  <si>
    <t>90405035Б10000000000</t>
  </si>
  <si>
    <t>90405035Б10200000000</t>
  </si>
  <si>
    <t>90405035Б10300000000</t>
  </si>
  <si>
    <t>90405035Б10319999200</t>
  </si>
  <si>
    <t>90405035Б10319999240</t>
  </si>
  <si>
    <t>90405035Б10319999244</t>
  </si>
  <si>
    <t>90405035Б20000000000</t>
  </si>
  <si>
    <t>90405035Б20100000000</t>
  </si>
  <si>
    <t>90405035Б20119999200</t>
  </si>
  <si>
    <t>90405035Б20119999240</t>
  </si>
  <si>
    <t>90405035Б20119999244</t>
  </si>
  <si>
    <t>90405035Б20200000000</t>
  </si>
  <si>
    <t>90405035Б20219999200</t>
  </si>
  <si>
    <t>90405035Б20219999240</t>
  </si>
  <si>
    <t>90405035Б20219999244</t>
  </si>
  <si>
    <t>90405035Б30000000000</t>
  </si>
  <si>
    <t>90405035Б30100000000</t>
  </si>
  <si>
    <t>90405035Б30200000000</t>
  </si>
  <si>
    <t>90405035Б30219999400</t>
  </si>
  <si>
    <t>90405035Б30219999410</t>
  </si>
  <si>
    <t>90405035Б30219999414</t>
  </si>
  <si>
    <t>90405035Б40000000000</t>
  </si>
  <si>
    <t>90405035Б50000000000</t>
  </si>
  <si>
    <t>90405035Б50010720000</t>
  </si>
  <si>
    <t>90405035Б50010720200</t>
  </si>
  <si>
    <t>90405035Б50010720240</t>
  </si>
  <si>
    <t>90405035Б50010720244</t>
  </si>
  <si>
    <t>90405035Б50010730000</t>
  </si>
  <si>
    <t>90405035Б50010730200</t>
  </si>
  <si>
    <t>90405035Б50010730240</t>
  </si>
  <si>
    <t>90405035Б50010730244</t>
  </si>
  <si>
    <t>90405035Ж00000000000</t>
  </si>
  <si>
    <t>90405035Ж30000000000</t>
  </si>
  <si>
    <t>90405035Ж30100000000</t>
  </si>
  <si>
    <t>90405035Ж30119999200</t>
  </si>
  <si>
    <t>90405035Ж30119999240</t>
  </si>
  <si>
    <t>90405035Ж30119999244</t>
  </si>
  <si>
    <t>90407055А00000000000</t>
  </si>
  <si>
    <t>90407055А20000000000</t>
  </si>
  <si>
    <t>90407055А20300000000</t>
  </si>
  <si>
    <t>90407075М00000000000</t>
  </si>
  <si>
    <t>90407075М00100000000</t>
  </si>
  <si>
    <t>90410065С00000000000</t>
  </si>
  <si>
    <t>90410065С00100000000</t>
  </si>
  <si>
    <t>90410065С00110810300</t>
  </si>
  <si>
    <t>90410065С00110810360</t>
  </si>
  <si>
    <t>90410065С00200000000</t>
  </si>
  <si>
    <t>90410065С00210840200</t>
  </si>
  <si>
    <t>90410065С00210840240</t>
  </si>
  <si>
    <t>90410065С00210840244</t>
  </si>
  <si>
    <t>90410065С00210850200</t>
  </si>
  <si>
    <t>90410065С00210850240</t>
  </si>
  <si>
    <t>90410065С00210850244</t>
  </si>
  <si>
    <t>90411025М00000000000</t>
  </si>
  <si>
    <t>90411025М00200000000</t>
  </si>
  <si>
    <t>90501065Ф00000000000</t>
  </si>
  <si>
    <t>90501065Ф20000000000</t>
  </si>
  <si>
    <t>90501065Ф30000000000</t>
  </si>
  <si>
    <t>90501065Ф30010190800</t>
  </si>
  <si>
    <t>90501065Ф30010190850</t>
  </si>
  <si>
    <t>90501065Ф30010190852</t>
  </si>
  <si>
    <t>90501115Ф00000000000</t>
  </si>
  <si>
    <t>90501115Ф40000000000</t>
  </si>
  <si>
    <t>90501115Ф40010910800</t>
  </si>
  <si>
    <t>90501115Ф40010910870</t>
  </si>
  <si>
    <t>90504085Д00000000000</t>
  </si>
  <si>
    <t>90504085Д30000000000</t>
  </si>
  <si>
    <t>90505015Ж00000000000</t>
  </si>
  <si>
    <t>90505015Ж40000000000</t>
  </si>
  <si>
    <t>90505015Ж40200000000</t>
  </si>
  <si>
    <t>90507055А00000000000</t>
  </si>
  <si>
    <t>90507055А20000000000</t>
  </si>
  <si>
    <t>90507055А20300000000</t>
  </si>
  <si>
    <t>90507055А20310130200</t>
  </si>
  <si>
    <t>90507055А20310130240</t>
  </si>
  <si>
    <t>90507055А20310130244</t>
  </si>
  <si>
    <t>Администрация Бодайбинского городского поселения</t>
  </si>
  <si>
    <t>94200389</t>
  </si>
  <si>
    <t>90403145Е20010320800</t>
  </si>
  <si>
    <t>90403145Е20010320810</t>
  </si>
  <si>
    <t>90404085Д30010415000</t>
  </si>
  <si>
    <t>90404085Д30010415200</t>
  </si>
  <si>
    <t>90404085Д30010415240</t>
  </si>
  <si>
    <t>90404085Д30010415244</t>
  </si>
  <si>
    <t>90504085Д30010421000</t>
  </si>
  <si>
    <t>90504085Д30010421800</t>
  </si>
  <si>
    <t>90504085Д30010421810</t>
  </si>
  <si>
    <t>90505029130010690000</t>
  </si>
  <si>
    <t>90505029130010690800</t>
  </si>
  <si>
    <t>90505029130010690810</t>
  </si>
  <si>
    <t>90505029130010691000</t>
  </si>
  <si>
    <t>90505029130010691800</t>
  </si>
  <si>
    <t>90505029130010691810</t>
  </si>
  <si>
    <t>90501065Ф20019999242</t>
  </si>
  <si>
    <t>90404065Е40150160000</t>
  </si>
  <si>
    <t>90404065Е40150160200</t>
  </si>
  <si>
    <t>90404065Е40150160240</t>
  </si>
  <si>
    <t>90404065Е40150160243</t>
  </si>
  <si>
    <t>Расходы на софинансирование мероприятий, направленных на повышение эксплуатационной надежности гидротехнических сооружений, в том числе бесхозяйных, путем их приведения к безопасному техническому состоянию экономики в рамках реализации федеральной целевой программы «Развитие водохозяйственного комплекса Российской Федерации в 2012 - 2020 годах» за счет средств субсидий</t>
  </si>
  <si>
    <t>90404065Е401R0161000</t>
  </si>
  <si>
    <t>90404065Е401R0161200</t>
  </si>
  <si>
    <t>90404065Е401R0161240</t>
  </si>
  <si>
    <t>90404065Е401R0161243</t>
  </si>
  <si>
    <t>000 1 00 00000 00 0000 000</t>
  </si>
  <si>
    <t>000 1 01 00000 00 0000 000</t>
  </si>
  <si>
    <t>000 1 01 02000 01 0000 110</t>
  </si>
  <si>
    <t>000 1 01 02010 01 0000 110</t>
  </si>
  <si>
    <t>000 1 01 02020 01 0000 110</t>
  </si>
  <si>
    <t>000 1 01 02030 01 0000 110</t>
  </si>
  <si>
    <t>000 1 01 02040 01 0000 110</t>
  </si>
  <si>
    <t>000 1 03 00000 00 0000 000</t>
  </si>
  <si>
    <t>000 1 03 02000 01 0000 110</t>
  </si>
  <si>
    <t>000 1 03 02230 01 0000 110</t>
  </si>
  <si>
    <t>000 1 03 02240 01 0000 110</t>
  </si>
  <si>
    <t>000 1 03 02250 01 0000 110</t>
  </si>
  <si>
    <t>000 1 03 02260 01 0000 110</t>
  </si>
  <si>
    <t>000 1 05 00000 00 0000 000</t>
  </si>
  <si>
    <t>000 1 05 03000 01 0000 110</t>
  </si>
  <si>
    <t>000 1 05 03010 01 0000 110</t>
  </si>
  <si>
    <t>000 1 06 00000 00 0000 000</t>
  </si>
  <si>
    <t>000 1 06 01000 00 0000 110</t>
  </si>
  <si>
    <t>000 1 06 01030 13 0000 110</t>
  </si>
  <si>
    <t>000 1 06 06000 00 0000 110</t>
  </si>
  <si>
    <t>000 1 06 06030 00 0000 110</t>
  </si>
  <si>
    <t>000 1 06 06033 13 0000 110</t>
  </si>
  <si>
    <t>000 1 06 06040 00 0000 110</t>
  </si>
  <si>
    <t>000 1 06 06043 13 0000 110</t>
  </si>
  <si>
    <t>000 1 08 00000 00 0000 000</t>
  </si>
  <si>
    <t>000 1 08 07000 01 0000 110</t>
  </si>
  <si>
    <t>000 1 08 07170 01 0000 110</t>
  </si>
  <si>
    <t>000 1 08 07175 01 0000 110</t>
  </si>
  <si>
    <t>000 1 09 00000 00 0000 000</t>
  </si>
  <si>
    <t>000 1 09 04000 00 0000 110</t>
  </si>
  <si>
    <t>000 1 09 04050 00 0000 110</t>
  </si>
  <si>
    <t>000 1 09 04053 13 0000 110</t>
  </si>
  <si>
    <t>000 1 09 04053 13 2100 110</t>
  </si>
  <si>
    <t>000 1 11 00000 00 0000 000</t>
  </si>
  <si>
    <t>000 1 11 05000 00 0000 120</t>
  </si>
  <si>
    <t>000 1 11 05010 00 0000 120</t>
  </si>
  <si>
    <t>000 1 11 05013 13 0000 120</t>
  </si>
  <si>
    <t>000 1 11 05020 00 0000 120</t>
  </si>
  <si>
    <t>000 1 11 05025 13 0000 120</t>
  </si>
  <si>
    <t>000 1 11 05030 00 0000 120</t>
  </si>
  <si>
    <t>000 1 11 05035 13 0000 120</t>
  </si>
  <si>
    <t>000 1 11 07000 00 0000 120</t>
  </si>
  <si>
    <t>000 1 11 07010 00 0000 120</t>
  </si>
  <si>
    <t>000 1 11 07015 13 0000 120</t>
  </si>
  <si>
    <t>000 1 11 09000 00 0000 120</t>
  </si>
  <si>
    <t>000 1 11 09040 00 0000 120</t>
  </si>
  <si>
    <t>000 1 11 09045 13 0000 120</t>
  </si>
  <si>
    <t>000 1 13 00000 00 0000 000</t>
  </si>
  <si>
    <t>000 1 13 01000 00 0000 130</t>
  </si>
  <si>
    <t>000 1 13 01500 00 0000 130</t>
  </si>
  <si>
    <t>000 1 13 01540 13 0000 130</t>
  </si>
  <si>
    <t>000 1 13 01990 00 0000 130</t>
  </si>
  <si>
    <t>000 1 13 01995 13 0000 130</t>
  </si>
  <si>
    <t>000 1 14 00000 00 0000 000</t>
  </si>
  <si>
    <t>000 1 14 02000 00 0000 000</t>
  </si>
  <si>
    <t>000 1 14 02050 13 0000 410</t>
  </si>
  <si>
    <t>000 1 14 02053 13 0000 410</t>
  </si>
  <si>
    <t>000 1 14 06000 00 0000 430</t>
  </si>
  <si>
    <t>000 1 14 06010 00 0000 430</t>
  </si>
  <si>
    <t>000 1 14 06013 13 0000 430</t>
  </si>
  <si>
    <t>000 1 16 00000 00 0000 000</t>
  </si>
  <si>
    <t>000 1 16 21000 00 0000 140</t>
  </si>
  <si>
    <t>000 1 16 21050 13 0000 140</t>
  </si>
  <si>
    <t>000 1 16 30000 01 0000 140</t>
  </si>
  <si>
    <t>000 1 16 30010 01 0000 140</t>
  </si>
  <si>
    <t>000 1 16 30019 01 0000 140</t>
  </si>
  <si>
    <t xml:space="preserve">  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</si>
  <si>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000 1 16 33000 00 0000 140</t>
  </si>
  <si>
    <t xml:space="preserve">  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поселений</t>
  </si>
  <si>
    <t>000 1 16 33050 13 0000 140</t>
  </si>
  <si>
    <t xml:space="preserve">  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поселений (федеральные государственные органы, Банк России, органы управления государственными внебюджетными фондами Российской Федерации)</t>
  </si>
  <si>
    <t>000 1 16 33050 13 6000 140</t>
  </si>
  <si>
    <t>000 1 16 37000 00 0000 140</t>
  </si>
  <si>
    <t>000 1 16 37040 13 0000 140</t>
  </si>
  <si>
    <t>000 1 16 51000 02 0000 140</t>
  </si>
  <si>
    <t>000 1 16 51040 02 0000 140</t>
  </si>
  <si>
    <t>000 1 16 90000 00 0000 140</t>
  </si>
  <si>
    <t>000 1 16 90050 13 0000 140</t>
  </si>
  <si>
    <t>000 1 17 00000 00 0000 000</t>
  </si>
  <si>
    <t>000 1 17 01000 00 0000 180</t>
  </si>
  <si>
    <t>000 1 17 01050 13 0000 180</t>
  </si>
  <si>
    <t>000 1 17 05000 00 0000 180</t>
  </si>
  <si>
    <t>000 1 17 05050 13 0000 180</t>
  </si>
  <si>
    <t>000 2 00 00000 00 0000 000</t>
  </si>
  <si>
    <t>000 2 02 00000 00 0000 000</t>
  </si>
  <si>
    <t>000 2 02 01000 00 0000 151</t>
  </si>
  <si>
    <t>000 2 02 01001 00 0000 151</t>
  </si>
  <si>
    <t>000 2 02 01001 13 0000 151</t>
  </si>
  <si>
    <t>000 2 02 02000 00 0000 151</t>
  </si>
  <si>
    <t xml:space="preserve">  Субсидии бюджетам на софинансирование капитальных вложений в объекты государственной (муниципальной) собственности</t>
  </si>
  <si>
    <t>000 2 02 02077 00 0000 151</t>
  </si>
  <si>
    <t xml:space="preserve">  Субсидии бюджетам городских поселений на софинансирование капитальных вложений в объекты муниципальной собственности</t>
  </si>
  <si>
    <t>000 2 02 02077 13 0000 151</t>
  </si>
  <si>
    <t>000 2 02 02079 00 0000 151</t>
  </si>
  <si>
    <t>000 2 02 02079 13 0000 151</t>
  </si>
  <si>
    <t>000 2 02 02999 00 0000 151</t>
  </si>
  <si>
    <t>000 2 02 02999 13 0000 151</t>
  </si>
  <si>
    <t>000 2 02 03000 00 0000 151</t>
  </si>
  <si>
    <t>000 2 02 03024 00 0000 151</t>
  </si>
  <si>
    <t>000 2 02 03024 13 0000 151</t>
  </si>
  <si>
    <t>000 2 02 04000 00 0000 151</t>
  </si>
  <si>
    <t>000 2 02 04999 00 0000 151</t>
  </si>
  <si>
    <t>000 2 02 04999 13 0000 151</t>
  </si>
  <si>
    <t>000 2 19 00000 00 0000 000</t>
  </si>
  <si>
    <t>000 2 19 05000 13 0000 151</t>
  </si>
  <si>
    <t>000 01 02 00 00 00 0000 000</t>
  </si>
  <si>
    <t>000 01 02 00 00 00 0000 700</t>
  </si>
  <si>
    <t>000 01 02 00 00 13 0000 710</t>
  </si>
  <si>
    <t>000 01 05 00 00 00 0000 000</t>
  </si>
  <si>
    <t>000 01 05 00 00 00 0000 500</t>
  </si>
  <si>
    <t>000 01 05 02 00 00 0000 500</t>
  </si>
  <si>
    <t>000 01 05 02 01 00 0000 510</t>
  </si>
  <si>
    <t>000 01 05 02 01 13 0000 510</t>
  </si>
  <si>
    <t>000 01 05 00 00 00 0000 600</t>
  </si>
  <si>
    <t>000 01 05 02 00 00 0000 600</t>
  </si>
  <si>
    <t>000 01 05 02 01 00 0000 610</t>
  </si>
  <si>
    <t>000 01 05 02 01 13 0000 610</t>
  </si>
  <si>
    <t>Главный бухгалтер____________________________</t>
  </si>
  <si>
    <t>И.В. Маркова</t>
  </si>
  <si>
    <t>90405015Р001R0231000</t>
  </si>
  <si>
    <t>90405015Р001R0231400</t>
  </si>
  <si>
    <t>90405015Р001R0231410</t>
  </si>
  <si>
    <t>90405015Р001R0231412</t>
  </si>
  <si>
    <t>90405015Р001L0231000</t>
  </si>
  <si>
    <t>90405015Р001L0231400</t>
  </si>
  <si>
    <t>90405015Р001L0231410</t>
  </si>
  <si>
    <t>90405015Р001L0231412</t>
  </si>
  <si>
    <t>90405015Р001R0232000</t>
  </si>
  <si>
    <t>Расходы на предоставление социальных выплат на переселение гражданам, проживающим в жилых помещениях, признанных непригодными для проживания, расположенных в зоне БАМа</t>
  </si>
  <si>
    <t>Социальные выплаты гражданам, кроме публичных нормативных социальных выплат</t>
  </si>
  <si>
    <t>Субсидии нгражданам на приобретение жилья</t>
  </si>
  <si>
    <t>90405015Р001R0232300</t>
  </si>
  <si>
    <t>90405015Р001R0232320</t>
  </si>
  <si>
    <t>90405015Р001R0232322</t>
  </si>
  <si>
    <t>Бодайбинское городское поселение</t>
  </si>
  <si>
    <t>Руководитель ____________________________</t>
  </si>
  <si>
    <t>Е.В. Харичева</t>
  </si>
  <si>
    <t>90405025Ж20115230000</t>
  </si>
  <si>
    <t>90405025Ж20115230800</t>
  </si>
  <si>
    <t>90405025Ж20115230810</t>
  </si>
  <si>
    <t>на 1 октября 2016 г.</t>
  </si>
  <si>
    <t>01.10.2016</t>
  </si>
  <si>
    <t>" 06" октября 2016 г.</t>
  </si>
  <si>
    <t>Расходы за счет иных межбюджетных трансфертов на  выполнение работ по разработке проекта "Предварительная очитска речной воды перед станцией водоподготовки в г. Бодайбо"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</si>
</sst>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#,##0.00_ ;\-#,##0.00"/>
  </numFmts>
  <fonts count="22" x14ac:knownFonts="1">
    <font>
      <sz val="11"/>
      <name val="Calibri"/>
      <family val="2"/>
      <scheme val="minor"/>
    </font>
    <font>
      <b/>
      <sz val="11"/>
      <color rgb="FF000000"/>
      <name val="Arial Cyr"/>
    </font>
    <font>
      <sz val="8"/>
      <color rgb="FF000000"/>
      <name val="Arial Cyr"/>
    </font>
    <font>
      <sz val="6"/>
      <color rgb="FF000000"/>
      <name val="Arial Cyr"/>
    </font>
    <font>
      <sz val="10"/>
      <color rgb="FF000000"/>
      <name val="Arial Cyr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sz val="8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2"/>
      <color rgb="FF000000"/>
      <name val="Times New Roman"/>
    </font>
    <font>
      <sz val="11"/>
      <color rgb="FF000000"/>
      <name val="Calibri"/>
      <scheme val="minor"/>
    </font>
    <font>
      <sz val="8"/>
      <color rgb="FF000000"/>
      <name val="Arial"/>
    </font>
    <font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CCCCCC"/>
      </patternFill>
    </fill>
  </fills>
  <borders count="45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81">
    <xf numFmtId="0" fontId="0" fillId="0" borderId="0"/>
    <xf numFmtId="0" fontId="4" fillId="0" borderId="1"/>
    <xf numFmtId="0" fontId="2" fillId="0" borderId="2">
      <alignment horizontal="center"/>
    </xf>
    <xf numFmtId="0" fontId="5" fillId="0" borderId="1">
      <alignment horizontal="right"/>
    </xf>
    <xf numFmtId="49" fontId="5" fillId="0" borderId="1"/>
    <xf numFmtId="0" fontId="1" fillId="0" borderId="1"/>
    <xf numFmtId="0" fontId="6" fillId="0" borderId="1"/>
    <xf numFmtId="0" fontId="6" fillId="0" borderId="5"/>
    <xf numFmtId="0" fontId="2" fillId="0" borderId="6">
      <alignment horizontal="center"/>
    </xf>
    <xf numFmtId="0" fontId="5" fillId="0" borderId="7">
      <alignment horizontal="right"/>
    </xf>
    <xf numFmtId="0" fontId="2" fillId="0" borderId="1"/>
    <xf numFmtId="0" fontId="2" fillId="0" borderId="8">
      <alignment horizontal="right"/>
    </xf>
    <xf numFmtId="49" fontId="2" fillId="0" borderId="9">
      <alignment horizontal="center"/>
    </xf>
    <xf numFmtId="0" fontId="5" fillId="0" borderId="10">
      <alignment horizontal="right"/>
    </xf>
    <xf numFmtId="0" fontId="7" fillId="0" borderId="1"/>
    <xf numFmtId="164" fontId="2" fillId="0" borderId="11">
      <alignment horizontal="center"/>
    </xf>
    <xf numFmtId="0" fontId="2" fillId="0" borderId="1">
      <alignment horizontal="left"/>
    </xf>
    <xf numFmtId="49" fontId="2" fillId="0" borderId="1"/>
    <xf numFmtId="49" fontId="2" fillId="0" borderId="8">
      <alignment horizontal="right" vertical="center"/>
    </xf>
    <xf numFmtId="49" fontId="2" fillId="0" borderId="11">
      <alignment horizontal="center" vertical="center"/>
    </xf>
    <xf numFmtId="49" fontId="2" fillId="0" borderId="11">
      <alignment horizontal="center"/>
    </xf>
    <xf numFmtId="49" fontId="2" fillId="0" borderId="8">
      <alignment horizontal="right"/>
    </xf>
    <xf numFmtId="0" fontId="2" fillId="0" borderId="4">
      <alignment horizontal="left"/>
    </xf>
    <xf numFmtId="49" fontId="2" fillId="0" borderId="4"/>
    <xf numFmtId="49" fontId="2" fillId="0" borderId="8"/>
    <xf numFmtId="49" fontId="2" fillId="0" borderId="12">
      <alignment horizontal="center"/>
    </xf>
    <xf numFmtId="0" fontId="1" fillId="0" borderId="2">
      <alignment horizontal="center"/>
    </xf>
    <xf numFmtId="0" fontId="1" fillId="0" borderId="1">
      <alignment horizontal="center"/>
    </xf>
    <xf numFmtId="0" fontId="4" fillId="0" borderId="13"/>
    <xf numFmtId="0" fontId="4" fillId="0" borderId="7"/>
    <xf numFmtId="0" fontId="2" fillId="0" borderId="3">
      <alignment horizontal="center" vertical="center"/>
    </xf>
    <xf numFmtId="0" fontId="2" fillId="0" borderId="6">
      <alignment horizontal="center" vertical="center"/>
    </xf>
    <xf numFmtId="49" fontId="2" fillId="0" borderId="6">
      <alignment horizontal="center" vertical="center"/>
    </xf>
    <xf numFmtId="0" fontId="2" fillId="0" borderId="14">
      <alignment horizontal="left" wrapText="1"/>
    </xf>
    <xf numFmtId="49" fontId="2" fillId="0" borderId="15">
      <alignment horizontal="center" wrapText="1"/>
    </xf>
    <xf numFmtId="49" fontId="2" fillId="0" borderId="16">
      <alignment horizontal="center"/>
    </xf>
    <xf numFmtId="4" fontId="2" fillId="0" borderId="16">
      <alignment horizontal="right" shrinkToFit="1"/>
    </xf>
    <xf numFmtId="0" fontId="2" fillId="0" borderId="17">
      <alignment horizontal="left" wrapText="1"/>
    </xf>
    <xf numFmtId="49" fontId="2" fillId="0" borderId="18">
      <alignment horizontal="center" shrinkToFit="1"/>
    </xf>
    <xf numFmtId="49" fontId="2" fillId="0" borderId="19">
      <alignment horizontal="center"/>
    </xf>
    <xf numFmtId="4" fontId="2" fillId="0" borderId="19">
      <alignment horizontal="right" shrinkToFit="1"/>
    </xf>
    <xf numFmtId="0" fontId="2" fillId="0" borderId="20">
      <alignment horizontal="left" wrapText="1" indent="2"/>
    </xf>
    <xf numFmtId="49" fontId="2" fillId="0" borderId="21">
      <alignment horizontal="center" shrinkToFit="1"/>
    </xf>
    <xf numFmtId="49" fontId="2" fillId="0" borderId="22">
      <alignment horizontal="center"/>
    </xf>
    <xf numFmtId="4" fontId="2" fillId="0" borderId="22">
      <alignment horizontal="right" shrinkToFit="1"/>
    </xf>
    <xf numFmtId="49" fontId="2" fillId="0" borderId="1">
      <alignment horizontal="right"/>
    </xf>
    <xf numFmtId="0" fontId="1" fillId="0" borderId="7">
      <alignment horizontal="center"/>
    </xf>
    <xf numFmtId="0" fontId="2" fillId="0" borderId="6">
      <alignment horizontal="center" vertical="center" shrinkToFit="1"/>
    </xf>
    <xf numFmtId="49" fontId="2" fillId="0" borderId="6">
      <alignment horizontal="center" vertical="center" shrinkToFit="1"/>
    </xf>
    <xf numFmtId="49" fontId="4" fillId="0" borderId="7"/>
    <xf numFmtId="49" fontId="4" fillId="0" borderId="1"/>
    <xf numFmtId="0" fontId="2" fillId="0" borderId="15">
      <alignment horizontal="center" shrinkToFit="1"/>
    </xf>
    <xf numFmtId="4" fontId="2" fillId="0" borderId="23">
      <alignment horizontal="right" shrinkToFit="1"/>
    </xf>
    <xf numFmtId="49" fontId="4" fillId="0" borderId="10"/>
    <xf numFmtId="0" fontId="2" fillId="0" borderId="18">
      <alignment horizontal="center" shrinkToFit="1"/>
    </xf>
    <xf numFmtId="165" fontId="2" fillId="0" borderId="19">
      <alignment horizontal="right" shrinkToFit="1"/>
    </xf>
    <xf numFmtId="165" fontId="2" fillId="0" borderId="24">
      <alignment horizontal="right" shrinkToFit="1"/>
    </xf>
    <xf numFmtId="0" fontId="2" fillId="0" borderId="25">
      <alignment horizontal="left" wrapText="1"/>
    </xf>
    <xf numFmtId="49" fontId="2" fillId="0" borderId="21">
      <alignment horizontal="center" wrapText="1"/>
    </xf>
    <xf numFmtId="49" fontId="2" fillId="0" borderId="22">
      <alignment horizontal="center" wrapText="1"/>
    </xf>
    <xf numFmtId="4" fontId="2" fillId="0" borderId="22">
      <alignment horizontal="right" wrapText="1"/>
    </xf>
    <xf numFmtId="4" fontId="2" fillId="0" borderId="20">
      <alignment horizontal="right" wrapText="1"/>
    </xf>
    <xf numFmtId="0" fontId="4" fillId="0" borderId="10">
      <alignment wrapText="1"/>
    </xf>
    <xf numFmtId="0" fontId="4" fillId="0" borderId="1">
      <alignment wrapText="1"/>
    </xf>
    <xf numFmtId="0" fontId="2" fillId="0" borderId="26">
      <alignment horizontal="left" wrapText="1"/>
    </xf>
    <xf numFmtId="49" fontId="2" fillId="0" borderId="27">
      <alignment horizontal="center" shrinkToFit="1"/>
    </xf>
    <xf numFmtId="49" fontId="2" fillId="0" borderId="28">
      <alignment horizontal="center"/>
    </xf>
    <xf numFmtId="4" fontId="2" fillId="0" borderId="28">
      <alignment horizontal="right" shrinkToFit="1"/>
    </xf>
    <xf numFmtId="49" fontId="2" fillId="0" borderId="29">
      <alignment horizontal="center"/>
    </xf>
    <xf numFmtId="0" fontId="4" fillId="0" borderId="10"/>
    <xf numFmtId="0" fontId="7" fillId="0" borderId="4"/>
    <xf numFmtId="0" fontId="7" fillId="0" borderId="30"/>
    <xf numFmtId="0" fontId="2" fillId="0" borderId="1">
      <alignment wrapText="1"/>
    </xf>
    <xf numFmtId="49" fontId="2" fillId="0" borderId="1">
      <alignment wrapText="1"/>
    </xf>
    <xf numFmtId="49" fontId="2" fillId="0" borderId="1">
      <alignment horizontal="center"/>
    </xf>
    <xf numFmtId="49" fontId="8" fillId="0" borderId="1"/>
    <xf numFmtId="0" fontId="2" fillId="0" borderId="2">
      <alignment horizontal="left"/>
    </xf>
    <xf numFmtId="49" fontId="2" fillId="0" borderId="2">
      <alignment horizontal="left"/>
    </xf>
    <xf numFmtId="0" fontId="2" fillId="0" borderId="2">
      <alignment horizontal="center" shrinkToFit="1"/>
    </xf>
    <xf numFmtId="49" fontId="2" fillId="0" borderId="2">
      <alignment horizontal="center" vertical="center" shrinkToFit="1"/>
    </xf>
    <xf numFmtId="49" fontId="4" fillId="0" borderId="2">
      <alignment shrinkToFit="1"/>
    </xf>
    <xf numFmtId="49" fontId="2" fillId="0" borderId="2">
      <alignment horizontal="right"/>
    </xf>
    <xf numFmtId="0" fontId="2" fillId="0" borderId="15">
      <alignment horizontal="center" vertical="center" shrinkToFit="1"/>
    </xf>
    <xf numFmtId="49" fontId="2" fillId="0" borderId="16">
      <alignment horizontal="center" vertical="center"/>
    </xf>
    <xf numFmtId="0" fontId="2" fillId="0" borderId="14">
      <alignment horizontal="left" wrapText="1" indent="2"/>
    </xf>
    <xf numFmtId="0" fontId="2" fillId="0" borderId="31">
      <alignment horizontal="center" vertical="center" shrinkToFit="1"/>
    </xf>
    <xf numFmtId="49" fontId="2" fillId="0" borderId="3">
      <alignment horizontal="center" vertical="center"/>
    </xf>
    <xf numFmtId="165" fontId="2" fillId="0" borderId="3">
      <alignment horizontal="right" vertical="center" shrinkToFit="1"/>
    </xf>
    <xf numFmtId="165" fontId="2" fillId="0" borderId="26">
      <alignment horizontal="right" vertical="center" shrinkToFit="1"/>
    </xf>
    <xf numFmtId="0" fontId="2" fillId="0" borderId="32">
      <alignment horizontal="left" wrapText="1"/>
    </xf>
    <xf numFmtId="4" fontId="2" fillId="0" borderId="3">
      <alignment horizontal="right" shrinkToFit="1"/>
    </xf>
    <xf numFmtId="4" fontId="2" fillId="0" borderId="26">
      <alignment horizontal="right" shrinkToFit="1"/>
    </xf>
    <xf numFmtId="0" fontId="2" fillId="0" borderId="17">
      <alignment horizontal="left" wrapText="1" indent="2"/>
    </xf>
    <xf numFmtId="0" fontId="9" fillId="0" borderId="26">
      <alignment wrapText="1"/>
    </xf>
    <xf numFmtId="0" fontId="9" fillId="0" borderId="26"/>
    <xf numFmtId="49" fontId="2" fillId="0" borderId="26">
      <alignment horizontal="center" shrinkToFit="1"/>
    </xf>
    <xf numFmtId="49" fontId="2" fillId="0" borderId="3">
      <alignment horizontal="center" vertical="center" shrinkToFit="1"/>
    </xf>
    <xf numFmtId="0" fontId="4" fillId="0" borderId="4">
      <alignment horizontal="left"/>
    </xf>
    <xf numFmtId="0" fontId="4" fillId="0" borderId="30">
      <alignment horizontal="left"/>
    </xf>
    <xf numFmtId="0" fontId="2" fillId="0" borderId="30"/>
    <xf numFmtId="49" fontId="4" fillId="0" borderId="30"/>
    <xf numFmtId="49" fontId="2" fillId="0" borderId="1">
      <alignment horizontal="left"/>
    </xf>
    <xf numFmtId="0" fontId="3" fillId="0" borderId="1">
      <alignment horizontal="center"/>
    </xf>
    <xf numFmtId="0" fontId="3" fillId="0" borderId="1"/>
    <xf numFmtId="49" fontId="3" fillId="0" borderId="1"/>
    <xf numFmtId="0" fontId="4" fillId="0" borderId="1">
      <alignment horizontal="left"/>
    </xf>
    <xf numFmtId="0" fontId="4" fillId="0" borderId="1">
      <alignment horizontal="center"/>
    </xf>
    <xf numFmtId="0" fontId="8" fillId="0" borderId="1">
      <alignment horizontal="left"/>
    </xf>
    <xf numFmtId="0" fontId="2" fillId="0" borderId="1">
      <alignment horizontal="center"/>
    </xf>
    <xf numFmtId="0" fontId="4" fillId="0" borderId="2"/>
    <xf numFmtId="0" fontId="4" fillId="0" borderId="4"/>
    <xf numFmtId="0" fontId="11" fillId="0" borderId="0"/>
    <xf numFmtId="0" fontId="11" fillId="0" borderId="0"/>
    <xf numFmtId="0" fontId="11" fillId="0" borderId="0"/>
    <xf numFmtId="0" fontId="10" fillId="0" borderId="1"/>
    <xf numFmtId="0" fontId="10" fillId="0" borderId="1"/>
    <xf numFmtId="0" fontId="4" fillId="2" borderId="1"/>
    <xf numFmtId="0" fontId="1" fillId="0" borderId="1">
      <alignment horizontal="center"/>
    </xf>
    <xf numFmtId="0" fontId="1" fillId="0" borderId="2">
      <alignment horizontal="center"/>
    </xf>
    <xf numFmtId="0" fontId="2" fillId="0" borderId="3">
      <alignment horizontal="center" vertical="top" wrapText="1"/>
    </xf>
    <xf numFmtId="0" fontId="4" fillId="2" borderId="4"/>
    <xf numFmtId="0" fontId="2" fillId="0" borderId="2">
      <alignment horizontal="left" wrapText="1"/>
    </xf>
    <xf numFmtId="0" fontId="2" fillId="0" borderId="33">
      <alignment horizontal="left" wrapText="1"/>
    </xf>
    <xf numFmtId="49" fontId="2" fillId="0" borderId="3">
      <alignment horizontal="center" vertical="top" wrapText="1"/>
    </xf>
    <xf numFmtId="0" fontId="4" fillId="2" borderId="34"/>
    <xf numFmtId="0" fontId="4" fillId="2" borderId="35"/>
    <xf numFmtId="0" fontId="4" fillId="2" borderId="36"/>
    <xf numFmtId="0" fontId="4" fillId="2" borderId="37"/>
    <xf numFmtId="0" fontId="4" fillId="2" borderId="33"/>
    <xf numFmtId="0" fontId="4" fillId="2" borderId="2"/>
    <xf numFmtId="0" fontId="4" fillId="0" borderId="3">
      <alignment horizontal="left"/>
    </xf>
    <xf numFmtId="0" fontId="4" fillId="2" borderId="38"/>
    <xf numFmtId="0" fontId="2" fillId="0" borderId="2">
      <alignment horizontal="center" wrapText="1"/>
    </xf>
    <xf numFmtId="0" fontId="3" fillId="0" borderId="4">
      <alignment horizontal="center"/>
    </xf>
    <xf numFmtId="0" fontId="2" fillId="0" borderId="2">
      <alignment horizontal="center"/>
    </xf>
    <xf numFmtId="0" fontId="4" fillId="0" borderId="3">
      <alignment horizontal="left" wrapText="1"/>
    </xf>
    <xf numFmtId="0" fontId="11" fillId="0" borderId="1"/>
    <xf numFmtId="0" fontId="11" fillId="0" borderId="1"/>
    <xf numFmtId="0" fontId="11" fillId="0" borderId="1"/>
    <xf numFmtId="0" fontId="11" fillId="0" borderId="1"/>
    <xf numFmtId="0" fontId="11" fillId="0" borderId="1"/>
    <xf numFmtId="0" fontId="11" fillId="0" borderId="1"/>
    <xf numFmtId="0" fontId="11" fillId="0" borderId="1"/>
    <xf numFmtId="0" fontId="11" fillId="0" borderId="1"/>
    <xf numFmtId="0" fontId="11" fillId="0" borderId="1"/>
    <xf numFmtId="0" fontId="11" fillId="0" borderId="1"/>
    <xf numFmtId="0" fontId="14" fillId="0" borderId="26">
      <alignment wrapText="1"/>
    </xf>
    <xf numFmtId="0" fontId="11" fillId="0" borderId="1"/>
    <xf numFmtId="0" fontId="15" fillId="0" borderId="7">
      <alignment horizontal="right"/>
    </xf>
    <xf numFmtId="0" fontId="11" fillId="0" borderId="1"/>
    <xf numFmtId="0" fontId="11" fillId="0" borderId="1"/>
    <xf numFmtId="0" fontId="11" fillId="0" borderId="1"/>
    <xf numFmtId="0" fontId="16" fillId="0" borderId="30"/>
    <xf numFmtId="0" fontId="11" fillId="0" borderId="1"/>
    <xf numFmtId="0" fontId="11" fillId="0" borderId="1"/>
    <xf numFmtId="0" fontId="15" fillId="0" borderId="1">
      <alignment horizontal="right"/>
    </xf>
    <xf numFmtId="0" fontId="16" fillId="0" borderId="1"/>
    <xf numFmtId="0" fontId="15" fillId="0" borderId="10">
      <alignment horizontal="right"/>
    </xf>
    <xf numFmtId="0" fontId="17" fillId="0" borderId="1"/>
    <xf numFmtId="0" fontId="11" fillId="0" borderId="1"/>
    <xf numFmtId="49" fontId="15" fillId="0" borderId="1"/>
    <xf numFmtId="0" fontId="16" fillId="0" borderId="4"/>
    <xf numFmtId="0" fontId="14" fillId="0" borderId="26"/>
    <xf numFmtId="0" fontId="17" fillId="0" borderId="1"/>
    <xf numFmtId="0" fontId="11" fillId="0" borderId="1"/>
    <xf numFmtId="0" fontId="18" fillId="0" borderId="1">
      <alignment horizontal="right"/>
    </xf>
    <xf numFmtId="49" fontId="18" fillId="0" borderId="1"/>
    <xf numFmtId="0" fontId="18" fillId="0" borderId="7">
      <alignment horizontal="right"/>
    </xf>
    <xf numFmtId="0" fontId="11" fillId="0" borderId="1"/>
    <xf numFmtId="0" fontId="18" fillId="0" borderId="10">
      <alignment horizontal="right"/>
    </xf>
    <xf numFmtId="0" fontId="19" fillId="0" borderId="1"/>
    <xf numFmtId="0" fontId="11" fillId="0" borderId="1"/>
    <xf numFmtId="0" fontId="11" fillId="0" borderId="1"/>
    <xf numFmtId="0" fontId="19" fillId="0" borderId="4"/>
    <xf numFmtId="0" fontId="19" fillId="0" borderId="30"/>
    <xf numFmtId="0" fontId="20" fillId="0" borderId="26">
      <alignment wrapText="1"/>
    </xf>
    <xf numFmtId="0" fontId="20" fillId="0" borderId="26"/>
    <xf numFmtId="0" fontId="21" fillId="0" borderId="1"/>
    <xf numFmtId="0" fontId="21" fillId="0" borderId="1"/>
    <xf numFmtId="0" fontId="11" fillId="0" borderId="1"/>
    <xf numFmtId="0" fontId="11" fillId="0" borderId="1"/>
  </cellStyleXfs>
  <cellXfs count="184">
    <xf numFmtId="0" fontId="0" fillId="0" borderId="0" xfId="0"/>
    <xf numFmtId="0" fontId="0" fillId="0" borderId="0" xfId="0" applyProtection="1">
      <protection locked="0"/>
    </xf>
    <xf numFmtId="0" fontId="4" fillId="0" borderId="1" xfId="1" applyNumberFormat="1" applyProtection="1">
      <protection locked="0"/>
    </xf>
    <xf numFmtId="0" fontId="5" fillId="0" borderId="1" xfId="3" applyNumberFormat="1" applyProtection="1">
      <alignment horizontal="right"/>
      <protection locked="0"/>
    </xf>
    <xf numFmtId="49" fontId="5" fillId="0" borderId="1" xfId="4" applyNumberFormat="1" applyProtection="1">
      <protection locked="0"/>
    </xf>
    <xf numFmtId="0" fontId="5" fillId="0" borderId="7" xfId="9" applyNumberFormat="1" applyProtection="1">
      <alignment horizontal="right"/>
      <protection locked="0"/>
    </xf>
    <xf numFmtId="0" fontId="5" fillId="0" borderId="10" xfId="13" applyNumberFormat="1" applyProtection="1">
      <alignment horizontal="right"/>
      <protection locked="0"/>
    </xf>
    <xf numFmtId="0" fontId="7" fillId="0" borderId="1" xfId="14" applyNumberFormat="1" applyProtection="1">
      <protection locked="0"/>
    </xf>
    <xf numFmtId="0" fontId="1" fillId="0" borderId="2" xfId="26" applyNumberFormat="1" applyProtection="1">
      <alignment horizontal="center"/>
      <protection locked="0"/>
    </xf>
    <xf numFmtId="0" fontId="1" fillId="0" borderId="1" xfId="27" applyNumberFormat="1" applyProtection="1">
      <alignment horizontal="center"/>
      <protection locked="0"/>
    </xf>
    <xf numFmtId="0" fontId="4" fillId="0" borderId="13" xfId="28" applyNumberFormat="1" applyProtection="1">
      <protection locked="0"/>
    </xf>
    <xf numFmtId="0" fontId="4" fillId="0" borderId="7" xfId="29" applyNumberFormat="1" applyProtection="1">
      <protection locked="0"/>
    </xf>
    <xf numFmtId="0" fontId="2" fillId="0" borderId="3" xfId="30" applyNumberFormat="1" applyProtection="1">
      <alignment horizontal="center" vertical="center"/>
      <protection locked="0"/>
    </xf>
    <xf numFmtId="0" fontId="2" fillId="0" borderId="6" xfId="31" applyNumberFormat="1" applyProtection="1">
      <alignment horizontal="center" vertical="center"/>
      <protection locked="0"/>
    </xf>
    <xf numFmtId="0" fontId="2" fillId="0" borderId="14" xfId="33" applyNumberFormat="1" applyProtection="1">
      <alignment horizontal="left" wrapText="1"/>
      <protection locked="0"/>
    </xf>
    <xf numFmtId="49" fontId="2" fillId="0" borderId="16" xfId="35" applyNumberFormat="1" applyProtection="1">
      <alignment horizontal="center"/>
      <protection locked="0"/>
    </xf>
    <xf numFmtId="4" fontId="2" fillId="0" borderId="16" xfId="36" applyNumberFormat="1" applyProtection="1">
      <alignment horizontal="right" shrinkToFit="1"/>
      <protection locked="0"/>
    </xf>
    <xf numFmtId="0" fontId="2" fillId="0" borderId="17" xfId="37" applyNumberFormat="1" applyProtection="1">
      <alignment horizontal="left" wrapText="1"/>
      <protection locked="0"/>
    </xf>
    <xf numFmtId="49" fontId="2" fillId="0" borderId="19" xfId="39" applyNumberFormat="1" applyProtection="1">
      <alignment horizontal="center"/>
      <protection locked="0"/>
    </xf>
    <xf numFmtId="49" fontId="2" fillId="0" borderId="1" xfId="45" applyNumberFormat="1" applyProtection="1">
      <alignment horizontal="right"/>
      <protection locked="0"/>
    </xf>
    <xf numFmtId="0" fontId="1" fillId="0" borderId="7" xfId="46" applyNumberFormat="1" applyProtection="1">
      <alignment horizontal="center"/>
      <protection locked="0"/>
    </xf>
    <xf numFmtId="0" fontId="2" fillId="0" borderId="6" xfId="47" applyNumberFormat="1" applyProtection="1">
      <alignment horizontal="center" vertical="center" shrinkToFit="1"/>
      <protection locked="0"/>
    </xf>
    <xf numFmtId="49" fontId="2" fillId="0" borderId="6" xfId="48" applyNumberFormat="1" applyProtection="1">
      <alignment horizontal="center" vertical="center" shrinkToFit="1"/>
      <protection locked="0"/>
    </xf>
    <xf numFmtId="49" fontId="4" fillId="0" borderId="7" xfId="49" applyNumberFormat="1" applyProtection="1">
      <protection locked="0"/>
    </xf>
    <xf numFmtId="49" fontId="4" fillId="0" borderId="1" xfId="50" applyNumberFormat="1" applyProtection="1">
      <protection locked="0"/>
    </xf>
    <xf numFmtId="0" fontId="2" fillId="0" borderId="15" xfId="51" applyNumberFormat="1" applyProtection="1">
      <alignment horizontal="center" shrinkToFit="1"/>
      <protection locked="0"/>
    </xf>
    <xf numFmtId="4" fontId="2" fillId="0" borderId="23" xfId="52" applyNumberFormat="1" applyProtection="1">
      <alignment horizontal="right" shrinkToFit="1"/>
      <protection locked="0"/>
    </xf>
    <xf numFmtId="49" fontId="4" fillId="0" borderId="10" xfId="53" applyNumberFormat="1" applyProtection="1">
      <protection locked="0"/>
    </xf>
    <xf numFmtId="0" fontId="2" fillId="0" borderId="18" xfId="54" applyNumberFormat="1" applyProtection="1">
      <alignment horizontal="center" shrinkToFit="1"/>
      <protection locked="0"/>
    </xf>
    <xf numFmtId="165" fontId="2" fillId="0" borderId="19" xfId="55" applyNumberFormat="1" applyProtection="1">
      <alignment horizontal="right" shrinkToFit="1"/>
      <protection locked="0"/>
    </xf>
    <xf numFmtId="165" fontId="2" fillId="0" borderId="24" xfId="56" applyNumberFormat="1" applyProtection="1">
      <alignment horizontal="right" shrinkToFit="1"/>
      <protection locked="0"/>
    </xf>
    <xf numFmtId="0" fontId="2" fillId="0" borderId="25" xfId="57" applyNumberFormat="1" applyProtection="1">
      <alignment horizontal="left" wrapText="1"/>
      <protection locked="0"/>
    </xf>
    <xf numFmtId="49" fontId="2" fillId="0" borderId="21" xfId="58" applyNumberFormat="1" applyProtection="1">
      <alignment horizontal="center" wrapText="1"/>
      <protection locked="0"/>
    </xf>
    <xf numFmtId="49" fontId="2" fillId="0" borderId="22" xfId="59" applyNumberFormat="1" applyProtection="1">
      <alignment horizontal="center" wrapText="1"/>
      <protection locked="0"/>
    </xf>
    <xf numFmtId="4" fontId="2" fillId="0" borderId="22" xfId="60" applyNumberFormat="1" applyProtection="1">
      <alignment horizontal="right" wrapText="1"/>
      <protection locked="0"/>
    </xf>
    <xf numFmtId="4" fontId="2" fillId="0" borderId="20" xfId="61" applyNumberFormat="1" applyProtection="1">
      <alignment horizontal="right" wrapText="1"/>
      <protection locked="0"/>
    </xf>
    <xf numFmtId="0" fontId="4" fillId="0" borderId="10" xfId="62" applyNumberFormat="1" applyProtection="1">
      <alignment wrapText="1"/>
      <protection locked="0"/>
    </xf>
    <xf numFmtId="0" fontId="4" fillId="0" borderId="1" xfId="63" applyNumberFormat="1" applyProtection="1">
      <alignment wrapText="1"/>
      <protection locked="0"/>
    </xf>
    <xf numFmtId="2" fontId="13" fillId="0" borderId="39" xfId="0" applyNumberFormat="1" applyFont="1" applyFill="1" applyBorder="1" applyAlignment="1">
      <alignment horizontal="justify" vertical="center" wrapText="1"/>
    </xf>
    <xf numFmtId="49" fontId="13" fillId="0" borderId="39" xfId="0" applyNumberFormat="1" applyFont="1" applyFill="1" applyBorder="1" applyAlignment="1">
      <alignment horizontal="justify" vertical="top" wrapText="1"/>
    </xf>
    <xf numFmtId="2" fontId="14" fillId="0" borderId="39" xfId="0" applyNumberFormat="1" applyFont="1" applyFill="1" applyBorder="1" applyAlignment="1">
      <alignment horizontal="justify" vertical="center" wrapText="1"/>
    </xf>
    <xf numFmtId="49" fontId="13" fillId="0" borderId="39" xfId="0" applyNumberFormat="1" applyFont="1" applyFill="1" applyBorder="1" applyAlignment="1">
      <alignment horizontal="justify" vertical="center" wrapText="1"/>
    </xf>
    <xf numFmtId="49" fontId="13" fillId="0" borderId="39" xfId="0" applyNumberFormat="1" applyFont="1" applyFill="1" applyBorder="1" applyAlignment="1" applyProtection="1">
      <alignment horizontal="left" vertical="center" wrapText="1"/>
    </xf>
    <xf numFmtId="49" fontId="13" fillId="0" borderId="39" xfId="0" applyNumberFormat="1" applyFont="1" applyFill="1" applyBorder="1" applyAlignment="1">
      <alignment horizontal="center"/>
    </xf>
    <xf numFmtId="0" fontId="13" fillId="0" borderId="39" xfId="0" applyFont="1" applyFill="1" applyBorder="1" applyAlignment="1">
      <alignment horizontal="center" wrapText="1"/>
    </xf>
    <xf numFmtId="49" fontId="13" fillId="0" borderId="39" xfId="0" applyNumberFormat="1" applyFont="1" applyFill="1" applyBorder="1" applyAlignment="1">
      <alignment horizontal="center" wrapText="1"/>
    </xf>
    <xf numFmtId="49" fontId="2" fillId="0" borderId="40" xfId="58" applyNumberFormat="1" applyBorder="1" applyProtection="1">
      <alignment horizontal="center" wrapText="1"/>
      <protection locked="0"/>
    </xf>
    <xf numFmtId="4" fontId="2" fillId="0" borderId="41" xfId="60" applyNumberFormat="1" applyBorder="1" applyProtection="1">
      <alignment horizontal="right" wrapText="1"/>
      <protection locked="0"/>
    </xf>
    <xf numFmtId="4" fontId="2" fillId="0" borderId="42" xfId="61" applyNumberFormat="1" applyBorder="1" applyProtection="1">
      <alignment horizontal="right" wrapText="1"/>
      <protection locked="0"/>
    </xf>
    <xf numFmtId="4" fontId="14" fillId="0" borderId="39" xfId="71" applyNumberFormat="1" applyFont="1" applyBorder="1" applyProtection="1">
      <protection locked="0"/>
    </xf>
    <xf numFmtId="4" fontId="13" fillId="0" borderId="39" xfId="0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2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49" fontId="12" fillId="0" borderId="1" xfId="0" applyNumberFormat="1" applyFont="1" applyFill="1" applyBorder="1" applyAlignment="1">
      <alignment horizontal="center"/>
    </xf>
    <xf numFmtId="0" fontId="4" fillId="0" borderId="1" xfId="63" applyNumberFormat="1" applyFill="1" applyBorder="1" applyAlignment="1" applyProtection="1">
      <alignment wrapText="1"/>
      <protection locked="0"/>
    </xf>
    <xf numFmtId="0" fontId="0" fillId="0" borderId="1" xfId="0" applyFill="1" applyBorder="1" applyAlignment="1" applyProtection="1">
      <protection locked="0"/>
    </xf>
    <xf numFmtId="2" fontId="13" fillId="0" borderId="43" xfId="0" applyNumberFormat="1" applyFont="1" applyFill="1" applyBorder="1" applyAlignment="1">
      <alignment horizontal="justify" vertical="center" wrapText="1"/>
    </xf>
    <xf numFmtId="49" fontId="13" fillId="0" borderId="43" xfId="0" applyNumberFormat="1" applyFont="1" applyFill="1" applyBorder="1" applyAlignment="1">
      <alignment horizontal="justify" vertical="top" wrapText="1"/>
    </xf>
    <xf numFmtId="49" fontId="13" fillId="0" borderId="43" xfId="0" applyNumberFormat="1" applyFont="1" applyFill="1" applyBorder="1" applyAlignment="1">
      <alignment horizontal="justify" vertical="center" wrapText="1"/>
    </xf>
    <xf numFmtId="0" fontId="13" fillId="0" borderId="43" xfId="0" applyFont="1" applyFill="1" applyBorder="1" applyAlignment="1">
      <alignment horizontal="justify" vertical="top" wrapText="1"/>
    </xf>
    <xf numFmtId="49" fontId="2" fillId="0" borderId="39" xfId="58" applyNumberFormat="1" applyBorder="1" applyProtection="1">
      <alignment horizontal="center" wrapText="1"/>
      <protection locked="0"/>
    </xf>
    <xf numFmtId="0" fontId="7" fillId="0" borderId="1" xfId="14" applyNumberFormat="1" applyProtection="1">
      <protection locked="0"/>
    </xf>
    <xf numFmtId="0" fontId="2" fillId="0" borderId="1" xfId="140" applyNumberFormat="1" applyFont="1" applyFill="1" applyBorder="1" applyAlignment="1" applyProtection="1">
      <alignment horizontal="center" wrapText="1"/>
    </xf>
    <xf numFmtId="0" fontId="4" fillId="0" borderId="1" xfId="105" applyNumberFormat="1" applyBorder="1" applyProtection="1">
      <alignment horizontal="left"/>
      <protection locked="0"/>
    </xf>
    <xf numFmtId="0" fontId="2" fillId="0" borderId="1" xfId="16" applyNumberFormat="1" applyBorder="1" applyProtection="1">
      <alignment horizontal="left"/>
      <protection locked="0"/>
    </xf>
    <xf numFmtId="0" fontId="4" fillId="0" borderId="1" xfId="140" applyNumberFormat="1" applyFont="1" applyFill="1" applyBorder="1" applyAlignment="1" applyProtection="1">
      <alignment horizontal="left" wrapText="1"/>
    </xf>
    <xf numFmtId="0" fontId="4" fillId="0" borderId="33" xfId="140" applyNumberFormat="1" applyFont="1" applyFill="1" applyBorder="1" applyAlignment="1" applyProtection="1">
      <alignment horizontal="left" wrapText="1"/>
    </xf>
    <xf numFmtId="0" fontId="4" fillId="0" borderId="44" xfId="140" applyNumberFormat="1" applyFont="1" applyFill="1" applyBorder="1" applyAlignment="1" applyProtection="1">
      <alignment horizontal="left" wrapText="1"/>
    </xf>
    <xf numFmtId="0" fontId="4" fillId="0" borderId="1" xfId="110" applyNumberFormat="1" applyBorder="1" applyProtection="1">
      <protection locked="0"/>
    </xf>
    <xf numFmtId="0" fontId="4" fillId="0" borderId="1" xfId="109" applyNumberFormat="1" applyBorder="1" applyProtection="1">
      <protection locked="0"/>
    </xf>
    <xf numFmtId="0" fontId="4" fillId="0" borderId="4" xfId="97" applyNumberFormat="1" applyProtection="1">
      <alignment horizontal="left"/>
      <protection locked="0"/>
    </xf>
    <xf numFmtId="0" fontId="4" fillId="0" borderId="30" xfId="98" applyNumberFormat="1" applyProtection="1">
      <alignment horizontal="left"/>
      <protection locked="0"/>
    </xf>
    <xf numFmtId="0" fontId="2" fillId="0" borderId="30" xfId="99" applyNumberFormat="1" applyProtection="1">
      <protection locked="0"/>
    </xf>
    <xf numFmtId="49" fontId="4" fillId="0" borderId="30" xfId="100" applyNumberFormat="1" applyProtection="1">
      <protection locked="0"/>
    </xf>
    <xf numFmtId="0" fontId="4" fillId="0" borderId="1" xfId="1" applyNumberFormat="1" applyProtection="1">
      <protection locked="0"/>
    </xf>
    <xf numFmtId="0" fontId="2" fillId="0" borderId="1" xfId="10" applyNumberFormat="1" applyProtection="1">
      <protection locked="0"/>
    </xf>
    <xf numFmtId="0" fontId="7" fillId="0" borderId="1" xfId="14" applyNumberFormat="1" applyProtection="1">
      <protection locked="0"/>
    </xf>
    <xf numFmtId="49" fontId="4" fillId="0" borderId="1" xfId="50" applyNumberFormat="1" applyProtection="1">
      <protection locked="0"/>
    </xf>
    <xf numFmtId="49" fontId="2" fillId="0" borderId="1" xfId="101" applyNumberFormat="1" applyProtection="1">
      <alignment horizontal="left"/>
      <protection locked="0"/>
    </xf>
    <xf numFmtId="0" fontId="3" fillId="0" borderId="1" xfId="103" applyNumberFormat="1" applyProtection="1">
      <protection locked="0"/>
    </xf>
    <xf numFmtId="49" fontId="3" fillId="0" borderId="1" xfId="104" applyNumberFormat="1" applyProtection="1">
      <protection locked="0"/>
    </xf>
    <xf numFmtId="0" fontId="8" fillId="0" borderId="1" xfId="107" applyNumberFormat="1" applyProtection="1">
      <alignment horizontal="left"/>
      <protection locked="0"/>
    </xf>
    <xf numFmtId="0" fontId="4" fillId="0" borderId="2" xfId="109" applyNumberFormat="1" applyProtection="1">
      <protection locked="0"/>
    </xf>
    <xf numFmtId="0" fontId="4" fillId="0" borderId="4" xfId="110" applyNumberFormat="1" applyProtection="1">
      <protection locked="0"/>
    </xf>
    <xf numFmtId="0" fontId="2" fillId="0" borderId="1" xfId="16" applyNumberFormat="1" applyProtection="1">
      <alignment horizontal="left"/>
      <protection locked="0"/>
    </xf>
    <xf numFmtId="0" fontId="3" fillId="0" borderId="1" xfId="102" applyNumberFormat="1" applyProtection="1">
      <alignment horizontal="center"/>
      <protection locked="0"/>
    </xf>
    <xf numFmtId="0" fontId="4" fillId="0" borderId="1" xfId="105" applyNumberFormat="1" applyProtection="1">
      <alignment horizontal="left"/>
      <protection locked="0"/>
    </xf>
    <xf numFmtId="0" fontId="4" fillId="0" borderId="1" xfId="106" applyNumberFormat="1" applyProtection="1">
      <alignment horizontal="center"/>
      <protection locked="0"/>
    </xf>
    <xf numFmtId="0" fontId="8" fillId="0" borderId="1" xfId="107" applyNumberFormat="1" applyProtection="1">
      <alignment horizontal="left"/>
      <protection locked="0"/>
    </xf>
    <xf numFmtId="0" fontId="2" fillId="0" borderId="1" xfId="16" applyNumberFormat="1" applyProtection="1">
      <alignment horizontal="left"/>
      <protection locked="0"/>
    </xf>
    <xf numFmtId="0" fontId="3" fillId="0" borderId="1" xfId="102" applyNumberFormat="1" applyProtection="1">
      <alignment horizontal="center"/>
      <protection locked="0"/>
    </xf>
    <xf numFmtId="0" fontId="2" fillId="0" borderId="1" xfId="16" applyNumberFormat="1" applyProtection="1">
      <alignment horizontal="left"/>
      <protection locked="0"/>
    </xf>
    <xf numFmtId="0" fontId="2" fillId="0" borderId="26" xfId="64" applyNumberFormat="1" applyProtection="1">
      <alignment horizontal="left" wrapText="1"/>
    </xf>
    <xf numFmtId="49" fontId="2" fillId="0" borderId="27" xfId="65" applyNumberFormat="1" applyProtection="1">
      <alignment horizontal="center" shrinkToFit="1"/>
    </xf>
    <xf numFmtId="49" fontId="2" fillId="0" borderId="28" xfId="66" applyNumberFormat="1" applyProtection="1">
      <alignment horizontal="center"/>
    </xf>
    <xf numFmtId="4" fontId="2" fillId="0" borderId="28" xfId="67" applyNumberFormat="1" applyProtection="1">
      <alignment horizontal="right" shrinkToFit="1"/>
    </xf>
    <xf numFmtId="49" fontId="2" fillId="0" borderId="29" xfId="68" applyNumberFormat="1" applyProtection="1">
      <alignment horizontal="center"/>
    </xf>
    <xf numFmtId="0" fontId="4" fillId="0" borderId="1" xfId="1" applyNumberFormat="1" applyProtection="1"/>
    <xf numFmtId="0" fontId="2" fillId="0" borderId="2" xfId="2" applyNumberFormat="1" applyProtection="1">
      <alignment horizontal="center"/>
    </xf>
    <xf numFmtId="0" fontId="1" fillId="0" borderId="1" xfId="5" applyNumberFormat="1" applyProtection="1"/>
    <xf numFmtId="0" fontId="6" fillId="0" borderId="1" xfId="6" applyNumberFormat="1" applyProtection="1"/>
    <xf numFmtId="0" fontId="6" fillId="0" borderId="5" xfId="7" applyNumberFormat="1" applyProtection="1"/>
    <xf numFmtId="0" fontId="2" fillId="0" borderId="6" xfId="8" applyNumberFormat="1" applyProtection="1">
      <alignment horizontal="center"/>
    </xf>
    <xf numFmtId="0" fontId="2" fillId="0" borderId="1" xfId="10" applyNumberFormat="1" applyProtection="1"/>
    <xf numFmtId="0" fontId="2" fillId="0" borderId="8" xfId="11" applyNumberFormat="1" applyProtection="1">
      <alignment horizontal="right"/>
    </xf>
    <xf numFmtId="49" fontId="2" fillId="0" borderId="9" xfId="12" applyNumberFormat="1" applyProtection="1">
      <alignment horizontal="center"/>
    </xf>
    <xf numFmtId="0" fontId="19" fillId="0" borderId="1" xfId="170" applyNumberFormat="1" applyProtection="1"/>
    <xf numFmtId="164" fontId="2" fillId="0" borderId="11" xfId="15" applyNumberFormat="1" applyProtection="1">
      <alignment horizontal="center"/>
    </xf>
    <xf numFmtId="0" fontId="2" fillId="0" borderId="1" xfId="16" applyNumberFormat="1" applyProtection="1">
      <alignment horizontal="left"/>
    </xf>
    <xf numFmtId="49" fontId="2" fillId="0" borderId="1" xfId="17" applyNumberFormat="1" applyProtection="1"/>
    <xf numFmtId="49" fontId="2" fillId="0" borderId="8" xfId="18" applyNumberFormat="1" applyProtection="1">
      <alignment horizontal="right" vertical="center"/>
    </xf>
    <xf numFmtId="49" fontId="2" fillId="0" borderId="11" xfId="19" applyNumberFormat="1" applyProtection="1">
      <alignment horizontal="center" vertical="center"/>
    </xf>
    <xf numFmtId="49" fontId="2" fillId="0" borderId="11" xfId="20" applyNumberFormat="1" applyProtection="1">
      <alignment horizontal="center"/>
    </xf>
    <xf numFmtId="49" fontId="2" fillId="0" borderId="8" xfId="21" applyNumberFormat="1" applyProtection="1">
      <alignment horizontal="right"/>
    </xf>
    <xf numFmtId="0" fontId="2" fillId="0" borderId="4" xfId="22" applyNumberFormat="1" applyProtection="1">
      <alignment horizontal="left"/>
    </xf>
    <xf numFmtId="49" fontId="2" fillId="0" borderId="4" xfId="23" applyNumberFormat="1" applyProtection="1"/>
    <xf numFmtId="49" fontId="2" fillId="0" borderId="8" xfId="24" applyNumberFormat="1" applyProtection="1"/>
    <xf numFmtId="49" fontId="2" fillId="0" borderId="12" xfId="25" applyNumberFormat="1" applyProtection="1">
      <alignment horizontal="center"/>
    </xf>
    <xf numFmtId="0" fontId="2" fillId="0" borderId="3" xfId="30" applyNumberFormat="1" applyProtection="1">
      <alignment horizontal="center" vertical="center"/>
    </xf>
    <xf numFmtId="0" fontId="2" fillId="0" borderId="6" xfId="31" applyNumberFormat="1" applyProtection="1">
      <alignment horizontal="center" vertical="center"/>
    </xf>
    <xf numFmtId="49" fontId="2" fillId="0" borderId="6" xfId="32" applyNumberFormat="1" applyProtection="1">
      <alignment horizontal="center" vertical="center"/>
    </xf>
    <xf numFmtId="0" fontId="2" fillId="0" borderId="14" xfId="33" applyNumberFormat="1" applyProtection="1">
      <alignment horizontal="left" wrapText="1"/>
    </xf>
    <xf numFmtId="49" fontId="2" fillId="0" borderId="15" xfId="34" applyNumberFormat="1" applyProtection="1">
      <alignment horizontal="center" wrapText="1"/>
    </xf>
    <xf numFmtId="49" fontId="2" fillId="0" borderId="16" xfId="35" applyNumberFormat="1" applyProtection="1">
      <alignment horizontal="center"/>
    </xf>
    <xf numFmtId="4" fontId="2" fillId="0" borderId="16" xfId="36" applyNumberFormat="1" applyProtection="1">
      <alignment horizontal="right" shrinkToFit="1"/>
    </xf>
    <xf numFmtId="0" fontId="2" fillId="0" borderId="17" xfId="37" applyNumberFormat="1" applyProtection="1">
      <alignment horizontal="left" wrapText="1"/>
    </xf>
    <xf numFmtId="49" fontId="2" fillId="0" borderId="18" xfId="38" applyNumberFormat="1" applyProtection="1">
      <alignment horizontal="center" shrinkToFit="1"/>
    </xf>
    <xf numFmtId="49" fontId="2" fillId="0" borderId="19" xfId="39" applyNumberFormat="1" applyProtection="1">
      <alignment horizontal="center"/>
    </xf>
    <xf numFmtId="4" fontId="2" fillId="0" borderId="19" xfId="40" applyNumberFormat="1" applyProtection="1">
      <alignment horizontal="right" shrinkToFit="1"/>
    </xf>
    <xf numFmtId="0" fontId="2" fillId="0" borderId="20" xfId="41" applyNumberFormat="1" applyProtection="1">
      <alignment horizontal="left" wrapText="1" indent="2"/>
    </xf>
    <xf numFmtId="49" fontId="2" fillId="0" borderId="21" xfId="42" applyNumberFormat="1" applyProtection="1">
      <alignment horizontal="center" shrinkToFit="1"/>
    </xf>
    <xf numFmtId="49" fontId="2" fillId="0" borderId="22" xfId="43" applyNumberFormat="1" applyProtection="1">
      <alignment horizontal="center"/>
    </xf>
    <xf numFmtId="4" fontId="2" fillId="0" borderId="22" xfId="44" applyNumberFormat="1" applyProtection="1">
      <alignment horizontal="right" shrinkToFit="1"/>
    </xf>
    <xf numFmtId="49" fontId="2" fillId="0" borderId="1" xfId="17" applyNumberFormat="1" applyProtection="1"/>
    <xf numFmtId="0" fontId="2" fillId="0" borderId="3" xfId="30" applyNumberFormat="1" applyProtection="1">
      <alignment horizontal="center" vertical="center"/>
    </xf>
    <xf numFmtId="0" fontId="2" fillId="0" borderId="6" xfId="31" applyNumberFormat="1" applyProtection="1">
      <alignment horizontal="center" vertical="center"/>
    </xf>
    <xf numFmtId="4" fontId="2" fillId="0" borderId="16" xfId="36" applyNumberFormat="1" applyProtection="1">
      <alignment horizontal="right" shrinkToFit="1"/>
    </xf>
    <xf numFmtId="49" fontId="2" fillId="0" borderId="1" xfId="45" applyNumberFormat="1" applyProtection="1">
      <alignment horizontal="right"/>
    </xf>
    <xf numFmtId="0" fontId="2" fillId="0" borderId="6" xfId="47" applyNumberFormat="1" applyProtection="1">
      <alignment horizontal="center" vertical="center" shrinkToFit="1"/>
    </xf>
    <xf numFmtId="49" fontId="2" fillId="0" borderId="6" xfId="48" applyNumberFormat="1" applyProtection="1">
      <alignment horizontal="center" vertical="center" shrinkToFit="1"/>
    </xf>
    <xf numFmtId="4" fontId="2" fillId="0" borderId="23" xfId="52" applyNumberFormat="1" applyProtection="1">
      <alignment horizontal="right" shrinkToFit="1"/>
    </xf>
    <xf numFmtId="0" fontId="2" fillId="0" borderId="25" xfId="57" applyNumberFormat="1" applyProtection="1">
      <alignment horizontal="left" wrapText="1"/>
    </xf>
    <xf numFmtId="0" fontId="2" fillId="0" borderId="26" xfId="64" applyNumberFormat="1" applyProtection="1">
      <alignment horizontal="left" wrapText="1"/>
    </xf>
    <xf numFmtId="0" fontId="2" fillId="0" borderId="1" xfId="72" applyNumberFormat="1" applyProtection="1">
      <alignment wrapText="1"/>
    </xf>
    <xf numFmtId="49" fontId="2" fillId="0" borderId="1" xfId="73" applyNumberFormat="1" applyProtection="1">
      <alignment wrapText="1"/>
    </xf>
    <xf numFmtId="49" fontId="2" fillId="0" borderId="1" xfId="74" applyNumberFormat="1" applyProtection="1">
      <alignment horizontal="center"/>
    </xf>
    <xf numFmtId="49" fontId="8" fillId="0" borderId="1" xfId="75" applyNumberFormat="1" applyProtection="1"/>
    <xf numFmtId="0" fontId="2" fillId="0" borderId="2" xfId="76" applyNumberFormat="1" applyProtection="1">
      <alignment horizontal="left"/>
    </xf>
    <xf numFmtId="49" fontId="2" fillId="0" borderId="2" xfId="77" applyNumberFormat="1" applyProtection="1">
      <alignment horizontal="left"/>
    </xf>
    <xf numFmtId="0" fontId="2" fillId="0" borderId="2" xfId="78" applyNumberFormat="1" applyProtection="1">
      <alignment horizontal="center" shrinkToFit="1"/>
    </xf>
    <xf numFmtId="49" fontId="2" fillId="0" borderId="2" xfId="79" applyNumberFormat="1" applyProtection="1">
      <alignment horizontal="center" vertical="center" shrinkToFit="1"/>
    </xf>
    <xf numFmtId="49" fontId="4" fillId="0" borderId="2" xfId="80" applyNumberFormat="1" applyProtection="1">
      <alignment shrinkToFit="1"/>
    </xf>
    <xf numFmtId="49" fontId="2" fillId="0" borderId="2" xfId="81" applyNumberFormat="1" applyProtection="1">
      <alignment horizontal="right"/>
    </xf>
    <xf numFmtId="0" fontId="2" fillId="0" borderId="15" xfId="82" applyNumberFormat="1" applyProtection="1">
      <alignment horizontal="center" vertical="center" shrinkToFit="1"/>
    </xf>
    <xf numFmtId="49" fontId="2" fillId="0" borderId="16" xfId="83" applyNumberFormat="1" applyProtection="1">
      <alignment horizontal="center" vertical="center"/>
    </xf>
    <xf numFmtId="0" fontId="2" fillId="0" borderId="14" xfId="84" applyNumberFormat="1" applyProtection="1">
      <alignment horizontal="left" wrapText="1" indent="2"/>
    </xf>
    <xf numFmtId="0" fontId="2" fillId="0" borderId="31" xfId="85" applyNumberFormat="1" applyProtection="1">
      <alignment horizontal="center" vertical="center" shrinkToFit="1"/>
    </xf>
    <xf numFmtId="49" fontId="2" fillId="0" borderId="3" xfId="86" applyNumberFormat="1" applyProtection="1">
      <alignment horizontal="center" vertical="center"/>
    </xf>
    <xf numFmtId="165" fontId="2" fillId="0" borderId="3" xfId="87" applyNumberFormat="1" applyProtection="1">
      <alignment horizontal="right" vertical="center" shrinkToFit="1"/>
    </xf>
    <xf numFmtId="165" fontId="2" fillId="0" borderId="26" xfId="88" applyNumberFormat="1" applyProtection="1">
      <alignment horizontal="right" vertical="center" shrinkToFit="1"/>
    </xf>
    <xf numFmtId="0" fontId="2" fillId="0" borderId="32" xfId="89" applyNumberFormat="1" applyProtection="1">
      <alignment horizontal="left" wrapText="1"/>
    </xf>
    <xf numFmtId="4" fontId="2" fillId="0" borderId="3" xfId="90" applyNumberFormat="1" applyProtection="1">
      <alignment horizontal="right" shrinkToFit="1"/>
    </xf>
    <xf numFmtId="4" fontId="2" fillId="0" borderId="26" xfId="91" applyNumberFormat="1" applyProtection="1">
      <alignment horizontal="right" shrinkToFit="1"/>
    </xf>
    <xf numFmtId="0" fontId="2" fillId="0" borderId="17" xfId="92" applyNumberFormat="1" applyProtection="1">
      <alignment horizontal="left" wrapText="1" indent="2"/>
    </xf>
    <xf numFmtId="0" fontId="20" fillId="0" borderId="26" xfId="175" applyNumberFormat="1" applyProtection="1">
      <alignment wrapText="1"/>
    </xf>
    <xf numFmtId="0" fontId="20" fillId="0" borderId="26" xfId="176" applyNumberFormat="1" applyProtection="1"/>
    <xf numFmtId="49" fontId="2" fillId="0" borderId="26" xfId="95" applyNumberFormat="1" applyProtection="1">
      <alignment horizontal="center" shrinkToFit="1"/>
    </xf>
    <xf numFmtId="49" fontId="2" fillId="0" borderId="3" xfId="96" applyNumberFormat="1" applyProtection="1">
      <alignment horizontal="center" vertical="center" shrinkToFit="1"/>
    </xf>
    <xf numFmtId="0" fontId="2" fillId="0" borderId="3" xfId="119" applyNumberFormat="1" applyBorder="1" applyProtection="1">
      <alignment horizontal="center" vertical="top" wrapText="1"/>
    </xf>
    <xf numFmtId="0" fontId="2" fillId="0" borderId="3" xfId="119" applyBorder="1" applyProtection="1">
      <alignment horizontal="center" vertical="top" wrapText="1"/>
      <protection locked="0"/>
    </xf>
    <xf numFmtId="49" fontId="2" fillId="0" borderId="3" xfId="123" applyNumberFormat="1" applyBorder="1" applyProtection="1">
      <alignment horizontal="center" vertical="top" wrapText="1"/>
    </xf>
    <xf numFmtId="49" fontId="2" fillId="0" borderId="3" xfId="123" applyBorder="1" applyProtection="1">
      <alignment horizontal="center" vertical="top" wrapText="1"/>
      <protection locked="0"/>
    </xf>
    <xf numFmtId="0" fontId="1" fillId="0" borderId="1" xfId="117" applyNumberFormat="1" applyBorder="1" applyProtection="1">
      <alignment horizontal="center"/>
    </xf>
    <xf numFmtId="0" fontId="1" fillId="0" borderId="1" xfId="117" applyBorder="1" applyProtection="1">
      <alignment horizontal="center"/>
      <protection locked="0"/>
    </xf>
    <xf numFmtId="0" fontId="2" fillId="0" borderId="2" xfId="121" applyNumberFormat="1" applyBorder="1" applyProtection="1">
      <alignment horizontal="left" wrapText="1"/>
    </xf>
    <xf numFmtId="0" fontId="2" fillId="0" borderId="33" xfId="122" applyNumberFormat="1" applyBorder="1" applyProtection="1">
      <alignment horizontal="left" wrapText="1"/>
    </xf>
    <xf numFmtId="0" fontId="1" fillId="0" borderId="2" xfId="118" applyNumberFormat="1" applyBorder="1" applyProtection="1">
      <alignment horizontal="center"/>
    </xf>
    <xf numFmtId="0" fontId="1" fillId="0" borderId="2" xfId="118" applyBorder="1" applyProtection="1">
      <alignment horizontal="center"/>
      <protection locked="0"/>
    </xf>
    <xf numFmtId="0" fontId="2" fillId="0" borderId="3" xfId="0" applyNumberFormat="1" applyFont="1" applyFill="1" applyBorder="1" applyAlignment="1" applyProtection="1">
      <alignment horizontal="center" vertical="top" wrapText="1"/>
    </xf>
    <xf numFmtId="0" fontId="1" fillId="0" borderId="1" xfId="0" applyNumberFormat="1" applyFont="1" applyFill="1" applyBorder="1" applyAlignment="1" applyProtection="1">
      <alignment horizontal="center"/>
    </xf>
    <xf numFmtId="49" fontId="2" fillId="0" borderId="3" xfId="0" applyNumberFormat="1" applyFont="1" applyFill="1" applyBorder="1" applyAlignment="1" applyProtection="1">
      <alignment horizontal="center" vertical="top" wrapText="1"/>
    </xf>
    <xf numFmtId="0" fontId="2" fillId="0" borderId="2" xfId="151" applyNumberFormat="1" applyFont="1" applyFill="1" applyBorder="1" applyAlignment="1" applyProtection="1">
      <alignment horizontal="center" wrapText="1"/>
    </xf>
    <xf numFmtId="0" fontId="3" fillId="0" borderId="4" xfId="151" applyNumberFormat="1" applyFont="1" applyFill="1" applyBorder="1" applyAlignment="1" applyProtection="1">
      <alignment horizontal="center"/>
    </xf>
  </cellXfs>
  <cellStyles count="181">
    <cellStyle name="br" xfId="113"/>
    <cellStyle name="br 2" xfId="143"/>
    <cellStyle name="col" xfId="112"/>
    <cellStyle name="col 2" xfId="142"/>
    <cellStyle name="st134" xfId="135"/>
    <cellStyle name="style0" xfId="114"/>
    <cellStyle name="style0 2" xfId="163"/>
    <cellStyle name="style0 3" xfId="177"/>
    <cellStyle name="td" xfId="115"/>
    <cellStyle name="td 2" xfId="158"/>
    <cellStyle name="td 3" xfId="178"/>
    <cellStyle name="tr" xfId="111"/>
    <cellStyle name="tr 2" xfId="141"/>
    <cellStyle name="xl100" xfId="50"/>
    <cellStyle name="xl101" xfId="63"/>
    <cellStyle name="xl102" xfId="72"/>
    <cellStyle name="xl103" xfId="76"/>
    <cellStyle name="xl104" xfId="84"/>
    <cellStyle name="xl105" xfId="89"/>
    <cellStyle name="xl106" xfId="92"/>
    <cellStyle name="xl107" xfId="126"/>
    <cellStyle name="xl108" xfId="127"/>
    <cellStyle name="xl109" xfId="73"/>
    <cellStyle name="xl110" xfId="77"/>
    <cellStyle name="xl111" xfId="82"/>
    <cellStyle name="xl112" xfId="85"/>
    <cellStyle name="xl113" xfId="128"/>
    <cellStyle name="xl114" xfId="74"/>
    <cellStyle name="xl115" xfId="78"/>
    <cellStyle name="xl116" xfId="83"/>
    <cellStyle name="xl117" xfId="86"/>
    <cellStyle name="xl118" xfId="79"/>
    <cellStyle name="xl119" xfId="87"/>
    <cellStyle name="xl120" xfId="90"/>
    <cellStyle name="xl121" xfId="75"/>
    <cellStyle name="xl122" xfId="80"/>
    <cellStyle name="xl123" xfId="81"/>
    <cellStyle name="xl124" xfId="88"/>
    <cellStyle name="xl125" xfId="91"/>
    <cellStyle name="xl126" xfId="129"/>
    <cellStyle name="xl127" xfId="93"/>
    <cellStyle name="xl127 2" xfId="146"/>
    <cellStyle name="xl127 3" xfId="175"/>
    <cellStyle name="xl128" xfId="94"/>
    <cellStyle name="xl128 2" xfId="162"/>
    <cellStyle name="xl128 3" xfId="176"/>
    <cellStyle name="xl129" xfId="95"/>
    <cellStyle name="xl130" xfId="96"/>
    <cellStyle name="xl131" xfId="97"/>
    <cellStyle name="xl132" xfId="102"/>
    <cellStyle name="xl133" xfId="105"/>
    <cellStyle name="xl134" xfId="101"/>
    <cellStyle name="xl135" xfId="109"/>
    <cellStyle name="xl136" xfId="130"/>
    <cellStyle name="xl137" xfId="110"/>
    <cellStyle name="xl138" xfId="131"/>
    <cellStyle name="xl139" xfId="98"/>
    <cellStyle name="xl140" xfId="132"/>
    <cellStyle name="xl141" xfId="133"/>
    <cellStyle name="xl142" xfId="106"/>
    <cellStyle name="xl143" xfId="134"/>
    <cellStyle name="xl144" xfId="108"/>
    <cellStyle name="xl145" xfId="107"/>
    <cellStyle name="xl146" xfId="99"/>
    <cellStyle name="xl147" xfId="103"/>
    <cellStyle name="xl148" xfId="100"/>
    <cellStyle name="xl149" xfId="104"/>
    <cellStyle name="xl21" xfId="116"/>
    <cellStyle name="xl22" xfId="1"/>
    <cellStyle name="xl23" xfId="117"/>
    <cellStyle name="xl24" xfId="5"/>
    <cellStyle name="xl25" xfId="10"/>
    <cellStyle name="xl26" xfId="16"/>
    <cellStyle name="xl27" xfId="118"/>
    <cellStyle name="xl28" xfId="119"/>
    <cellStyle name="xl29" xfId="30"/>
    <cellStyle name="xl30" xfId="33"/>
    <cellStyle name="xl31" xfId="37"/>
    <cellStyle name="xl32" xfId="41"/>
    <cellStyle name="xl33" xfId="120"/>
    <cellStyle name="xl34" xfId="14"/>
    <cellStyle name="xl34 2" xfId="156"/>
    <cellStyle name="xl34 3" xfId="170"/>
    <cellStyle name="xl35" xfId="121"/>
    <cellStyle name="xl36" xfId="122"/>
    <cellStyle name="xl37" xfId="22"/>
    <cellStyle name="xl38" xfId="31"/>
    <cellStyle name="xl39" xfId="34"/>
    <cellStyle name="xl40" xfId="38"/>
    <cellStyle name="xl41" xfId="42"/>
    <cellStyle name="xl42" xfId="6"/>
    <cellStyle name="xl43" xfId="35"/>
    <cellStyle name="xl44" xfId="39"/>
    <cellStyle name="xl45" xfId="43"/>
    <cellStyle name="xl46" xfId="17"/>
    <cellStyle name="xl47" xfId="23"/>
    <cellStyle name="xl48" xfId="123"/>
    <cellStyle name="xl49" xfId="32"/>
    <cellStyle name="xl50" xfId="36"/>
    <cellStyle name="xl51" xfId="40"/>
    <cellStyle name="xl52" xfId="44"/>
    <cellStyle name="xl53" xfId="7"/>
    <cellStyle name="xl54" xfId="11"/>
    <cellStyle name="xl55" xfId="18"/>
    <cellStyle name="xl56" xfId="21"/>
    <cellStyle name="xl57" xfId="24"/>
    <cellStyle name="xl58" xfId="2"/>
    <cellStyle name="xl59" xfId="8"/>
    <cellStyle name="xl60" xfId="12"/>
    <cellStyle name="xl61" xfId="15"/>
    <cellStyle name="xl62" xfId="19"/>
    <cellStyle name="xl63" xfId="20"/>
    <cellStyle name="xl64" xfId="25"/>
    <cellStyle name="xl65" xfId="3"/>
    <cellStyle name="xl65 2" xfId="155"/>
    <cellStyle name="xl65 3" xfId="165"/>
    <cellStyle name="xl66" xfId="9"/>
    <cellStyle name="xl66 2" xfId="148"/>
    <cellStyle name="xl66 3" xfId="167"/>
    <cellStyle name="xl67" xfId="13"/>
    <cellStyle name="xl67 2" xfId="157"/>
    <cellStyle name="xl67 3" xfId="169"/>
    <cellStyle name="xl68" xfId="26"/>
    <cellStyle name="xl69" xfId="28"/>
    <cellStyle name="xl70" xfId="29"/>
    <cellStyle name="xl71" xfId="4"/>
    <cellStyle name="xl71 2" xfId="160"/>
    <cellStyle name="xl71 3" xfId="166"/>
    <cellStyle name="xl72" xfId="27"/>
    <cellStyle name="xl73" xfId="57"/>
    <cellStyle name="xl74" xfId="124"/>
    <cellStyle name="xl75" xfId="64"/>
    <cellStyle name="xl76" xfId="70"/>
    <cellStyle name="xl76 2" xfId="161"/>
    <cellStyle name="xl76 3" xfId="173"/>
    <cellStyle name="xl77" xfId="51"/>
    <cellStyle name="xl78" xfId="54"/>
    <cellStyle name="xl79" xfId="58"/>
    <cellStyle name="xl80" xfId="125"/>
    <cellStyle name="xl81" xfId="65"/>
    <cellStyle name="xl82" xfId="71"/>
    <cellStyle name="xl82 2" xfId="152"/>
    <cellStyle name="xl82 3" xfId="174"/>
    <cellStyle name="xl83" xfId="47"/>
    <cellStyle name="xl84" xfId="59"/>
    <cellStyle name="xl85" xfId="66"/>
    <cellStyle name="xl86" xfId="48"/>
    <cellStyle name="xl87" xfId="55"/>
    <cellStyle name="xl88" xfId="60"/>
    <cellStyle name="xl89" xfId="67"/>
    <cellStyle name="xl90" xfId="45"/>
    <cellStyle name="xl91" xfId="52"/>
    <cellStyle name="xl92" xfId="56"/>
    <cellStyle name="xl93" xfId="61"/>
    <cellStyle name="xl94" xfId="68"/>
    <cellStyle name="xl95" xfId="46"/>
    <cellStyle name="xl96" xfId="49"/>
    <cellStyle name="xl97" xfId="53"/>
    <cellStyle name="xl98" xfId="62"/>
    <cellStyle name="xl99" xfId="69"/>
    <cellStyle name="Обычный" xfId="0" builtinId="0"/>
    <cellStyle name="Обычный 10" xfId="154"/>
    <cellStyle name="Обычный 11" xfId="149"/>
    <cellStyle name="Обычный 12" xfId="145"/>
    <cellStyle name="Обычный 13" xfId="151"/>
    <cellStyle name="Обычный 14" xfId="159"/>
    <cellStyle name="Обычный 15" xfId="153"/>
    <cellStyle name="Обычный 16" xfId="164"/>
    <cellStyle name="Обычный 17" xfId="172"/>
    <cellStyle name="Обычный 18" xfId="168"/>
    <cellStyle name="Обычный 19" xfId="171"/>
    <cellStyle name="Обычный 2" xfId="136"/>
    <cellStyle name="Обычный 20" xfId="179"/>
    <cellStyle name="Обычный 21" xfId="180"/>
    <cellStyle name="Обычный 3" xfId="139"/>
    <cellStyle name="Обычный 4" xfId="137"/>
    <cellStyle name="Обычный 5" xfId="138"/>
    <cellStyle name="Обычный 6" xfId="140"/>
    <cellStyle name="Обычный 7" xfId="144"/>
    <cellStyle name="Обычный 8" xfId="150"/>
    <cellStyle name="Обычный 9" xfId="147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stromina/Documents/&#1041;&#1070;&#1044;&#1046;&#1045;&#1058;/&#1041;&#1102;&#1076;&#1078;&#1077;&#1090;%202016/&#1056;&#1072;&#1089;&#1093;&#1086;&#1076;&#1099;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РРО"/>
      <sheetName val="январь"/>
      <sheetName val="2016 год"/>
      <sheetName val="февраль"/>
      <sheetName val="март дума"/>
      <sheetName val="март "/>
      <sheetName val="апрель дума"/>
      <sheetName val="апрель"/>
      <sheetName val="май дума"/>
      <sheetName val="май"/>
      <sheetName val="июнь дума"/>
      <sheetName val="июнь"/>
      <sheetName val="июль раб. версия"/>
      <sheetName val="июль"/>
      <sheetName val="июль для дубкова"/>
      <sheetName val="август"/>
      <sheetName val="сентябрь"/>
      <sheetName val="сентябрь дум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46">
          <cell r="A146" t="str">
            <v>Иные бюджетные ассигнования</v>
          </cell>
        </row>
        <row r="147">
          <cell r="A147" t="str">
            <v>Субсидии юридическим лицам (кроме некоммерческих организаций), индивидуальным предпринимателям, физическим лицам -производителям товаров, работ, услуг</v>
          </cell>
        </row>
        <row r="198">
          <cell r="A198" t="str">
            <v xml:space="preserve"> Расходы на мероприятия федеральной целевой программы «Развитие водохозяйственного комплекса Российской Федерации в 2012 - 2020 годах»</v>
          </cell>
        </row>
        <row r="199">
          <cell r="A199" t="str">
            <v>Закупка товаров, работ и услуг для обеспечения государственных (муниципальных) нужд</v>
          </cell>
        </row>
        <row r="200">
          <cell r="A200" t="str">
            <v>Иные закупки товаров, работ и услуг для государственных (муниципальных) нужд</v>
          </cell>
        </row>
        <row r="201">
          <cell r="A201" t="str">
            <v>Закупка товаров,работ, услуг в целях капитального ремонта государственного (муниципального) имущества</v>
          </cell>
        </row>
        <row r="725">
          <cell r="A725" t="str">
            <v xml:space="preserve">Субсидии в целях возмещения недополученных доходов в связи с оказанием услуг по городским пассажирским перевозкам </v>
          </cell>
        </row>
        <row r="726">
          <cell r="A726" t="str">
            <v>Иные бюджетные ассигнования</v>
          </cell>
        </row>
        <row r="727">
          <cell r="A727" t="str">
            <v>Субсидии юридическим лицам (кроме некоммерческих организаций), индивидуальным предпринимателям, физическим лицам -производителям товаров, работ, услуг</v>
          </cell>
        </row>
        <row r="745">
          <cell r="A745" t="str">
            <v>Субсидии в целях возмещения недополученных доходов при оказании услуг коммунально-бытового назначения (муниципальная баня)</v>
          </cell>
        </row>
        <row r="746">
          <cell r="A746" t="str">
            <v>Иные бюджетные ассигнования</v>
          </cell>
        </row>
        <row r="747">
          <cell r="A747" t="str">
            <v>Субсидии юридическим лицам (кроме некоммерческих организаций), индивидуальным предпринимателям, физическим лицам -производителям товаров, работ, услуг</v>
          </cell>
        </row>
      </sheetData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9"/>
  <sheetViews>
    <sheetView topLeftCell="A109" workbookViewId="0">
      <selection activeCell="E118" sqref="E118"/>
    </sheetView>
  </sheetViews>
  <sheetFormatPr defaultRowHeight="15" x14ac:dyDescent="0.25"/>
  <cols>
    <col min="1" max="1" width="46.42578125" style="1" customWidth="1"/>
    <col min="2" max="2" width="13.28515625" style="1" customWidth="1"/>
    <col min="3" max="3" width="22.28515625" style="1" customWidth="1"/>
    <col min="4" max="6" width="19.85546875" style="1" customWidth="1"/>
    <col min="7" max="7" width="9.140625" style="1" hidden="1"/>
    <col min="8" max="8" width="6.85546875" style="1" customWidth="1"/>
    <col min="9" max="16384" width="9.140625" style="1"/>
  </cols>
  <sheetData>
    <row r="1" spans="1:8" ht="12" customHeight="1" x14ac:dyDescent="0.25">
      <c r="A1" s="98"/>
      <c r="B1" s="98"/>
      <c r="C1" s="98"/>
      <c r="D1" s="98"/>
      <c r="E1" s="98"/>
      <c r="F1" s="98"/>
      <c r="G1" s="2"/>
      <c r="H1" s="2"/>
    </row>
    <row r="2" spans="1:8" ht="14.1" customHeight="1" x14ac:dyDescent="0.25">
      <c r="A2" s="173" t="s">
        <v>0</v>
      </c>
      <c r="B2" s="174"/>
      <c r="C2" s="174"/>
      <c r="D2" s="174"/>
      <c r="E2" s="174"/>
      <c r="F2" s="99"/>
      <c r="G2" s="3"/>
      <c r="H2" s="4"/>
    </row>
    <row r="3" spans="1:8" ht="14.1" customHeight="1" thickBot="1" x14ac:dyDescent="0.3">
      <c r="A3" s="100"/>
      <c r="B3" s="100"/>
      <c r="C3" s="101"/>
      <c r="D3" s="101"/>
      <c r="E3" s="102"/>
      <c r="F3" s="103" t="s">
        <v>1</v>
      </c>
      <c r="G3" s="5"/>
      <c r="H3" s="4"/>
    </row>
    <row r="4" spans="1:8" ht="14.1" customHeight="1" x14ac:dyDescent="0.25">
      <c r="A4" s="98"/>
      <c r="B4" s="104" t="s">
        <v>995</v>
      </c>
      <c r="C4" s="98"/>
      <c r="D4" s="98"/>
      <c r="E4" s="105" t="s">
        <v>2</v>
      </c>
      <c r="F4" s="106" t="s">
        <v>3</v>
      </c>
      <c r="G4" s="6"/>
      <c r="H4" s="4"/>
    </row>
    <row r="5" spans="1:8" ht="14.1" customHeight="1" x14ac:dyDescent="0.25">
      <c r="A5" s="104"/>
      <c r="B5" s="107"/>
      <c r="C5" s="104"/>
      <c r="D5" s="104"/>
      <c r="E5" s="105" t="s">
        <v>4</v>
      </c>
      <c r="F5" s="108" t="s">
        <v>996</v>
      </c>
      <c r="G5" s="6"/>
      <c r="H5" s="4"/>
    </row>
    <row r="6" spans="1:8" ht="14.1" customHeight="1" x14ac:dyDescent="0.25">
      <c r="A6" s="109" t="s">
        <v>5</v>
      </c>
      <c r="B6" s="109"/>
      <c r="C6" s="109"/>
      <c r="D6" s="110"/>
      <c r="E6" s="111" t="s">
        <v>6</v>
      </c>
      <c r="F6" s="112" t="s">
        <v>829</v>
      </c>
      <c r="G6" s="6"/>
      <c r="H6" s="4"/>
    </row>
    <row r="7" spans="1:8" ht="20.85" customHeight="1" x14ac:dyDescent="0.25">
      <c r="A7" s="109" t="s">
        <v>7</v>
      </c>
      <c r="B7" s="175" t="s">
        <v>989</v>
      </c>
      <c r="C7" s="175"/>
      <c r="D7" s="175"/>
      <c r="E7" s="111" t="s">
        <v>8</v>
      </c>
      <c r="F7" s="113" t="s">
        <v>9</v>
      </c>
      <c r="G7" s="6"/>
      <c r="H7" s="4"/>
    </row>
    <row r="8" spans="1:8" ht="20.85" customHeight="1" x14ac:dyDescent="0.25">
      <c r="A8" s="109" t="s">
        <v>10</v>
      </c>
      <c r="B8" s="176" t="s">
        <v>11</v>
      </c>
      <c r="C8" s="176"/>
      <c r="D8" s="176"/>
      <c r="E8" s="114" t="s">
        <v>12</v>
      </c>
      <c r="F8" s="113" t="s">
        <v>13</v>
      </c>
      <c r="G8" s="6"/>
      <c r="H8" s="4"/>
    </row>
    <row r="9" spans="1:8" ht="14.1" customHeight="1" x14ac:dyDescent="0.25">
      <c r="A9" s="104" t="s">
        <v>14</v>
      </c>
      <c r="B9" s="115"/>
      <c r="C9" s="115"/>
      <c r="D9" s="116"/>
      <c r="E9" s="117"/>
      <c r="F9" s="113"/>
      <c r="G9" s="6"/>
      <c r="H9" s="4"/>
    </row>
    <row r="10" spans="1:8" ht="14.1" customHeight="1" thickBot="1" x14ac:dyDescent="0.3">
      <c r="A10" s="109" t="s">
        <v>15</v>
      </c>
      <c r="B10" s="109"/>
      <c r="C10" s="109"/>
      <c r="D10" s="110"/>
      <c r="E10" s="114" t="s">
        <v>16</v>
      </c>
      <c r="F10" s="118" t="s">
        <v>17</v>
      </c>
      <c r="G10" s="6"/>
      <c r="H10" s="4"/>
    </row>
    <row r="11" spans="1:8" ht="14.1" customHeight="1" x14ac:dyDescent="0.25">
      <c r="A11" s="177" t="s">
        <v>18</v>
      </c>
      <c r="B11" s="178"/>
      <c r="C11" s="178"/>
      <c r="D11" s="178"/>
      <c r="E11" s="178"/>
      <c r="F11" s="178"/>
      <c r="G11" s="8"/>
      <c r="H11" s="9"/>
    </row>
    <row r="12" spans="1:8" ht="12.95" customHeight="1" x14ac:dyDescent="0.25">
      <c r="A12" s="169" t="s">
        <v>19</v>
      </c>
      <c r="B12" s="169" t="s">
        <v>20</v>
      </c>
      <c r="C12" s="169" t="s">
        <v>21</v>
      </c>
      <c r="D12" s="171" t="s">
        <v>22</v>
      </c>
      <c r="E12" s="171" t="s">
        <v>23</v>
      </c>
      <c r="F12" s="169" t="s">
        <v>24</v>
      </c>
      <c r="G12" s="10"/>
      <c r="H12" s="2"/>
    </row>
    <row r="13" spans="1:8" ht="12" customHeight="1" x14ac:dyDescent="0.25">
      <c r="A13" s="170"/>
      <c r="B13" s="170"/>
      <c r="C13" s="170"/>
      <c r="D13" s="172"/>
      <c r="E13" s="172"/>
      <c r="F13" s="170"/>
      <c r="G13" s="11"/>
      <c r="H13" s="2"/>
    </row>
    <row r="14" spans="1:8" ht="14.25" customHeight="1" x14ac:dyDescent="0.25">
      <c r="A14" s="170"/>
      <c r="B14" s="170"/>
      <c r="C14" s="170"/>
      <c r="D14" s="172"/>
      <c r="E14" s="172"/>
      <c r="F14" s="170"/>
      <c r="G14" s="11"/>
      <c r="H14" s="2"/>
    </row>
    <row r="15" spans="1:8" ht="14.25" customHeight="1" thickBot="1" x14ac:dyDescent="0.3">
      <c r="A15" s="119">
        <v>1</v>
      </c>
      <c r="B15" s="120">
        <v>2</v>
      </c>
      <c r="C15" s="120">
        <v>3</v>
      </c>
      <c r="D15" s="121" t="s">
        <v>25</v>
      </c>
      <c r="E15" s="121" t="s">
        <v>26</v>
      </c>
      <c r="F15" s="121" t="s">
        <v>27</v>
      </c>
      <c r="G15" s="11"/>
      <c r="H15" s="2"/>
    </row>
    <row r="16" spans="1:8" ht="17.25" customHeight="1" x14ac:dyDescent="0.25">
      <c r="A16" s="122" t="s">
        <v>28</v>
      </c>
      <c r="B16" s="123" t="s">
        <v>29</v>
      </c>
      <c r="C16" s="124" t="s">
        <v>30</v>
      </c>
      <c r="D16" s="125">
        <v>302285483.32999998</v>
      </c>
      <c r="E16" s="125">
        <v>131395870.40000001</v>
      </c>
      <c r="F16" s="125">
        <v>170890861.13999999</v>
      </c>
      <c r="G16" s="11"/>
      <c r="H16" s="2"/>
    </row>
    <row r="17" spans="1:8" ht="15" customHeight="1" x14ac:dyDescent="0.25">
      <c r="A17" s="126" t="s">
        <v>31</v>
      </c>
      <c r="B17" s="127"/>
      <c r="C17" s="128"/>
      <c r="D17" s="129"/>
      <c r="E17" s="129"/>
      <c r="F17" s="129"/>
      <c r="G17" s="11"/>
      <c r="H17" s="2"/>
    </row>
    <row r="18" spans="1:8" ht="15" customHeight="1" x14ac:dyDescent="0.25">
      <c r="A18" s="130" t="s">
        <v>32</v>
      </c>
      <c r="B18" s="131" t="s">
        <v>29</v>
      </c>
      <c r="C18" s="132" t="s">
        <v>855</v>
      </c>
      <c r="D18" s="133">
        <v>128390873.63</v>
      </c>
      <c r="E18" s="133">
        <v>86456025</v>
      </c>
      <c r="F18" s="133">
        <v>41936096.840000004</v>
      </c>
      <c r="G18" s="11"/>
      <c r="H18" s="2"/>
    </row>
    <row r="19" spans="1:8" ht="15" customHeight="1" x14ac:dyDescent="0.25">
      <c r="A19" s="130" t="s">
        <v>39</v>
      </c>
      <c r="B19" s="131" t="s">
        <v>29</v>
      </c>
      <c r="C19" s="132" t="s">
        <v>856</v>
      </c>
      <c r="D19" s="133">
        <v>88493000</v>
      </c>
      <c r="E19" s="133">
        <v>63193701.780000001</v>
      </c>
      <c r="F19" s="133">
        <v>25299298.219999999</v>
      </c>
      <c r="G19" s="11"/>
      <c r="H19" s="2"/>
    </row>
    <row r="20" spans="1:8" ht="17.25" customHeight="1" x14ac:dyDescent="0.25">
      <c r="A20" s="130" t="s">
        <v>40</v>
      </c>
      <c r="B20" s="131" t="s">
        <v>29</v>
      </c>
      <c r="C20" s="132" t="s">
        <v>857</v>
      </c>
      <c r="D20" s="133">
        <v>88493000</v>
      </c>
      <c r="E20" s="133">
        <v>63193701.780000001</v>
      </c>
      <c r="F20" s="133">
        <v>25299298.219999999</v>
      </c>
      <c r="G20" s="11"/>
      <c r="H20" s="2"/>
    </row>
    <row r="21" spans="1:8" ht="68.25" customHeight="1" x14ac:dyDescent="0.25">
      <c r="A21" s="130" t="s">
        <v>41</v>
      </c>
      <c r="B21" s="131" t="s">
        <v>29</v>
      </c>
      <c r="C21" s="132" t="s">
        <v>858</v>
      </c>
      <c r="D21" s="133">
        <v>77408000</v>
      </c>
      <c r="E21" s="133">
        <v>51328425.609999999</v>
      </c>
      <c r="F21" s="133">
        <v>26079574.390000001</v>
      </c>
      <c r="G21" s="11"/>
      <c r="H21" s="2"/>
    </row>
    <row r="22" spans="1:8" ht="93.75" customHeight="1" x14ac:dyDescent="0.25">
      <c r="A22" s="130" t="s">
        <v>42</v>
      </c>
      <c r="B22" s="131" t="s">
        <v>29</v>
      </c>
      <c r="C22" s="132" t="s">
        <v>859</v>
      </c>
      <c r="D22" s="133">
        <v>137000</v>
      </c>
      <c r="E22" s="133">
        <v>75670.94</v>
      </c>
      <c r="F22" s="133">
        <v>61329.06</v>
      </c>
      <c r="G22" s="11"/>
      <c r="H22" s="2"/>
    </row>
    <row r="23" spans="1:8" ht="37.5" customHeight="1" x14ac:dyDescent="0.25">
      <c r="A23" s="130" t="s">
        <v>43</v>
      </c>
      <c r="B23" s="131" t="s">
        <v>29</v>
      </c>
      <c r="C23" s="132" t="s">
        <v>860</v>
      </c>
      <c r="D23" s="133">
        <v>298000</v>
      </c>
      <c r="E23" s="133">
        <v>346747.85</v>
      </c>
      <c r="F23" s="133">
        <v>-48747.85</v>
      </c>
      <c r="G23" s="11"/>
      <c r="H23" s="2"/>
    </row>
    <row r="24" spans="1:8" ht="71.25" customHeight="1" x14ac:dyDescent="0.25">
      <c r="A24" s="130" t="s">
        <v>44</v>
      </c>
      <c r="B24" s="131" t="s">
        <v>29</v>
      </c>
      <c r="C24" s="132" t="s">
        <v>861</v>
      </c>
      <c r="D24" s="133">
        <v>10650000</v>
      </c>
      <c r="E24" s="133">
        <v>11442857.380000001</v>
      </c>
      <c r="F24" s="133">
        <v>-792857.38</v>
      </c>
      <c r="G24" s="11"/>
      <c r="H24" s="2"/>
    </row>
    <row r="25" spans="1:8" ht="38.25" customHeight="1" x14ac:dyDescent="0.25">
      <c r="A25" s="130" t="s">
        <v>33</v>
      </c>
      <c r="B25" s="131" t="s">
        <v>29</v>
      </c>
      <c r="C25" s="132" t="s">
        <v>862</v>
      </c>
      <c r="D25" s="133">
        <v>2777745.63</v>
      </c>
      <c r="E25" s="133">
        <v>2632728.6</v>
      </c>
      <c r="F25" s="133">
        <v>145017.03</v>
      </c>
      <c r="G25" s="11"/>
      <c r="H25" s="2"/>
    </row>
    <row r="26" spans="1:8" ht="27" customHeight="1" x14ac:dyDescent="0.25">
      <c r="A26" s="130" t="s">
        <v>34</v>
      </c>
      <c r="B26" s="131" t="s">
        <v>29</v>
      </c>
      <c r="C26" s="132" t="s">
        <v>863</v>
      </c>
      <c r="D26" s="133">
        <v>2777745.63</v>
      </c>
      <c r="E26" s="133">
        <v>2632728.6</v>
      </c>
      <c r="F26" s="133">
        <v>145017.03</v>
      </c>
      <c r="G26" s="11"/>
      <c r="H26" s="2"/>
    </row>
    <row r="27" spans="1:8" ht="71.25" customHeight="1" x14ac:dyDescent="0.25">
      <c r="A27" s="130" t="s">
        <v>35</v>
      </c>
      <c r="B27" s="131" t="s">
        <v>29</v>
      </c>
      <c r="C27" s="132" t="s">
        <v>864</v>
      </c>
      <c r="D27" s="133">
        <v>985616.7</v>
      </c>
      <c r="E27" s="133">
        <v>884881.86</v>
      </c>
      <c r="F27" s="133">
        <v>100734.84</v>
      </c>
      <c r="G27" s="11"/>
      <c r="H27" s="2"/>
    </row>
    <row r="28" spans="1:8" ht="80.25" customHeight="1" x14ac:dyDescent="0.25">
      <c r="A28" s="130" t="s">
        <v>36</v>
      </c>
      <c r="B28" s="131" t="s">
        <v>29</v>
      </c>
      <c r="C28" s="132" t="s">
        <v>865</v>
      </c>
      <c r="D28" s="133">
        <v>14972.7</v>
      </c>
      <c r="E28" s="133">
        <v>14103.27</v>
      </c>
      <c r="F28" s="133">
        <v>869.43</v>
      </c>
      <c r="G28" s="11"/>
      <c r="H28" s="2"/>
    </row>
    <row r="29" spans="1:8" ht="70.5" customHeight="1" x14ac:dyDescent="0.25">
      <c r="A29" s="130" t="s">
        <v>37</v>
      </c>
      <c r="B29" s="131" t="s">
        <v>29</v>
      </c>
      <c r="C29" s="132" t="s">
        <v>866</v>
      </c>
      <c r="D29" s="133">
        <v>2151215.58</v>
      </c>
      <c r="E29" s="133">
        <v>1855931.39</v>
      </c>
      <c r="F29" s="133">
        <v>295284.19</v>
      </c>
      <c r="G29" s="11"/>
      <c r="H29" s="2"/>
    </row>
    <row r="30" spans="1:8" ht="69" customHeight="1" x14ac:dyDescent="0.25">
      <c r="A30" s="130" t="s">
        <v>38</v>
      </c>
      <c r="B30" s="131" t="s">
        <v>29</v>
      </c>
      <c r="C30" s="132" t="s">
        <v>867</v>
      </c>
      <c r="D30" s="133">
        <v>-374059.35</v>
      </c>
      <c r="E30" s="133">
        <v>-122187.92</v>
      </c>
      <c r="F30" s="133">
        <v>-251871.43</v>
      </c>
      <c r="G30" s="11"/>
      <c r="H30" s="2"/>
    </row>
    <row r="31" spans="1:8" ht="21.75" customHeight="1" x14ac:dyDescent="0.25">
      <c r="A31" s="130" t="s">
        <v>45</v>
      </c>
      <c r="B31" s="131" t="s">
        <v>29</v>
      </c>
      <c r="C31" s="132" t="s">
        <v>868</v>
      </c>
      <c r="D31" s="133">
        <v>20000</v>
      </c>
      <c r="E31" s="133">
        <v>18619.939999999999</v>
      </c>
      <c r="F31" s="133">
        <v>1380.06</v>
      </c>
      <c r="G31" s="11"/>
      <c r="H31" s="2"/>
    </row>
    <row r="32" spans="1:8" ht="19.5" customHeight="1" x14ac:dyDescent="0.25">
      <c r="A32" s="130" t="s">
        <v>46</v>
      </c>
      <c r="B32" s="131" t="s">
        <v>29</v>
      </c>
      <c r="C32" s="132" t="s">
        <v>869</v>
      </c>
      <c r="D32" s="133">
        <v>20000</v>
      </c>
      <c r="E32" s="133">
        <v>18619.939999999999</v>
      </c>
      <c r="F32" s="133">
        <v>1380.06</v>
      </c>
      <c r="G32" s="11"/>
      <c r="H32" s="2"/>
    </row>
    <row r="33" spans="1:8" ht="19.5" customHeight="1" x14ac:dyDescent="0.25">
      <c r="A33" s="130" t="s">
        <v>46</v>
      </c>
      <c r="B33" s="131" t="s">
        <v>29</v>
      </c>
      <c r="C33" s="132" t="s">
        <v>870</v>
      </c>
      <c r="D33" s="133">
        <v>20000</v>
      </c>
      <c r="E33" s="133">
        <v>18619.939999999999</v>
      </c>
      <c r="F33" s="133">
        <v>1380.06</v>
      </c>
      <c r="G33" s="11"/>
      <c r="H33" s="2"/>
    </row>
    <row r="34" spans="1:8" ht="15" customHeight="1" x14ac:dyDescent="0.25">
      <c r="A34" s="130" t="s">
        <v>47</v>
      </c>
      <c r="B34" s="131" t="s">
        <v>29</v>
      </c>
      <c r="C34" s="132" t="s">
        <v>871</v>
      </c>
      <c r="D34" s="133">
        <v>18100000</v>
      </c>
      <c r="E34" s="133">
        <v>7853483.8899999997</v>
      </c>
      <c r="F34" s="133">
        <v>10246516.109999999</v>
      </c>
      <c r="G34" s="11"/>
      <c r="H34" s="2"/>
    </row>
    <row r="35" spans="1:8" ht="14.25" customHeight="1" x14ac:dyDescent="0.25">
      <c r="A35" s="130" t="s">
        <v>48</v>
      </c>
      <c r="B35" s="131" t="s">
        <v>29</v>
      </c>
      <c r="C35" s="132" t="s">
        <v>872</v>
      </c>
      <c r="D35" s="133">
        <v>3600000</v>
      </c>
      <c r="E35" s="133">
        <v>780883.7</v>
      </c>
      <c r="F35" s="133">
        <v>2819116.3</v>
      </c>
      <c r="G35" s="11"/>
      <c r="H35" s="2"/>
    </row>
    <row r="36" spans="1:8" ht="41.25" customHeight="1" x14ac:dyDescent="0.25">
      <c r="A36" s="130" t="s">
        <v>49</v>
      </c>
      <c r="B36" s="131" t="s">
        <v>29</v>
      </c>
      <c r="C36" s="132" t="s">
        <v>873</v>
      </c>
      <c r="D36" s="133">
        <v>3600000</v>
      </c>
      <c r="E36" s="133">
        <v>780883.7</v>
      </c>
      <c r="F36" s="133">
        <v>2819116.3</v>
      </c>
      <c r="G36" s="11"/>
      <c r="H36" s="2"/>
    </row>
    <row r="37" spans="1:8" ht="15" customHeight="1" x14ac:dyDescent="0.25">
      <c r="A37" s="130" t="s">
        <v>50</v>
      </c>
      <c r="B37" s="131" t="s">
        <v>29</v>
      </c>
      <c r="C37" s="132" t="s">
        <v>874</v>
      </c>
      <c r="D37" s="133">
        <v>14500000</v>
      </c>
      <c r="E37" s="133">
        <v>7072600.1900000004</v>
      </c>
      <c r="F37" s="133">
        <v>7427399.8099999996</v>
      </c>
      <c r="G37" s="11"/>
      <c r="H37" s="2"/>
    </row>
    <row r="38" spans="1:8" ht="15" customHeight="1" x14ac:dyDescent="0.25">
      <c r="A38" s="130" t="s">
        <v>51</v>
      </c>
      <c r="B38" s="131" t="s">
        <v>29</v>
      </c>
      <c r="C38" s="132" t="s">
        <v>875</v>
      </c>
      <c r="D38" s="133">
        <v>11500000</v>
      </c>
      <c r="E38" s="133">
        <v>6500305.04</v>
      </c>
      <c r="F38" s="133">
        <v>4999694.96</v>
      </c>
      <c r="G38" s="11"/>
      <c r="H38" s="2"/>
    </row>
    <row r="39" spans="1:8" ht="33.75" customHeight="1" x14ac:dyDescent="0.25">
      <c r="A39" s="130" t="s">
        <v>52</v>
      </c>
      <c r="B39" s="131" t="s">
        <v>29</v>
      </c>
      <c r="C39" s="132" t="s">
        <v>876</v>
      </c>
      <c r="D39" s="133">
        <v>11500000</v>
      </c>
      <c r="E39" s="133">
        <v>6500305.04</v>
      </c>
      <c r="F39" s="133">
        <v>4999694.96</v>
      </c>
      <c r="G39" s="11"/>
      <c r="H39" s="2"/>
    </row>
    <row r="40" spans="1:8" ht="15" customHeight="1" x14ac:dyDescent="0.25">
      <c r="A40" s="130" t="s">
        <v>53</v>
      </c>
      <c r="B40" s="131" t="s">
        <v>29</v>
      </c>
      <c r="C40" s="132" t="s">
        <v>877</v>
      </c>
      <c r="D40" s="133">
        <v>3000000</v>
      </c>
      <c r="E40" s="133">
        <v>572295.15</v>
      </c>
      <c r="F40" s="133">
        <v>2427704.85</v>
      </c>
      <c r="G40" s="11"/>
      <c r="H40" s="2"/>
    </row>
    <row r="41" spans="1:8" ht="15" customHeight="1" x14ac:dyDescent="0.25">
      <c r="A41" s="130" t="s">
        <v>54</v>
      </c>
      <c r="B41" s="131" t="s">
        <v>29</v>
      </c>
      <c r="C41" s="132" t="s">
        <v>878</v>
      </c>
      <c r="D41" s="133">
        <v>3000000</v>
      </c>
      <c r="E41" s="133">
        <v>572295.15</v>
      </c>
      <c r="F41" s="133">
        <v>2427704.85</v>
      </c>
      <c r="G41" s="11"/>
      <c r="H41" s="2"/>
    </row>
    <row r="42" spans="1:8" ht="22.5" customHeight="1" x14ac:dyDescent="0.25">
      <c r="A42" s="130" t="s">
        <v>57</v>
      </c>
      <c r="B42" s="131" t="s">
        <v>29</v>
      </c>
      <c r="C42" s="132" t="s">
        <v>879</v>
      </c>
      <c r="D42" s="133">
        <v>4785000</v>
      </c>
      <c r="E42" s="133">
        <v>4198400</v>
      </c>
      <c r="F42" s="133">
        <v>586600</v>
      </c>
      <c r="G42" s="11"/>
      <c r="H42" s="2"/>
    </row>
    <row r="43" spans="1:8" ht="36" customHeight="1" x14ac:dyDescent="0.25">
      <c r="A43" s="130" t="s">
        <v>58</v>
      </c>
      <c r="B43" s="131" t="s">
        <v>29</v>
      </c>
      <c r="C43" s="132" t="s">
        <v>880</v>
      </c>
      <c r="D43" s="133">
        <v>4785000</v>
      </c>
      <c r="E43" s="133">
        <v>4198400</v>
      </c>
      <c r="F43" s="133">
        <v>586600</v>
      </c>
      <c r="G43" s="11"/>
      <c r="H43" s="2"/>
    </row>
    <row r="44" spans="1:8" ht="50.25" customHeight="1" x14ac:dyDescent="0.25">
      <c r="A44" s="130" t="s">
        <v>59</v>
      </c>
      <c r="B44" s="131" t="s">
        <v>29</v>
      </c>
      <c r="C44" s="132" t="s">
        <v>881</v>
      </c>
      <c r="D44" s="133">
        <v>4785000</v>
      </c>
      <c r="E44" s="133">
        <v>4198400</v>
      </c>
      <c r="F44" s="133">
        <v>586600</v>
      </c>
      <c r="G44" s="11"/>
      <c r="H44" s="2"/>
    </row>
    <row r="45" spans="1:8" ht="70.5" customHeight="1" x14ac:dyDescent="0.25">
      <c r="A45" s="130" t="s">
        <v>60</v>
      </c>
      <c r="B45" s="131" t="s">
        <v>29</v>
      </c>
      <c r="C45" s="132" t="s">
        <v>882</v>
      </c>
      <c r="D45" s="133">
        <v>4785000</v>
      </c>
      <c r="E45" s="133">
        <v>4198400</v>
      </c>
      <c r="F45" s="133">
        <v>586600</v>
      </c>
      <c r="G45" s="11"/>
      <c r="H45" s="2"/>
    </row>
    <row r="46" spans="1:8" ht="36" customHeight="1" x14ac:dyDescent="0.25">
      <c r="A46" s="130" t="s">
        <v>61</v>
      </c>
      <c r="B46" s="131" t="s">
        <v>29</v>
      </c>
      <c r="C46" s="132" t="s">
        <v>883</v>
      </c>
      <c r="D46" s="133" t="s">
        <v>62</v>
      </c>
      <c r="E46" s="133">
        <v>16.38</v>
      </c>
      <c r="F46" s="133" t="s">
        <v>62</v>
      </c>
      <c r="G46" s="11"/>
      <c r="H46" s="2"/>
    </row>
    <row r="47" spans="1:8" ht="17.25" customHeight="1" x14ac:dyDescent="0.25">
      <c r="A47" s="130" t="s">
        <v>63</v>
      </c>
      <c r="B47" s="131" t="s">
        <v>29</v>
      </c>
      <c r="C47" s="132" t="s">
        <v>884</v>
      </c>
      <c r="D47" s="133" t="s">
        <v>62</v>
      </c>
      <c r="E47" s="133">
        <v>16.38</v>
      </c>
      <c r="F47" s="133" t="s">
        <v>62</v>
      </c>
      <c r="G47" s="11"/>
      <c r="H47" s="2"/>
    </row>
    <row r="48" spans="1:8" ht="25.5" customHeight="1" x14ac:dyDescent="0.25">
      <c r="A48" s="130" t="s">
        <v>64</v>
      </c>
      <c r="B48" s="131" t="s">
        <v>29</v>
      </c>
      <c r="C48" s="132" t="s">
        <v>885</v>
      </c>
      <c r="D48" s="133" t="s">
        <v>62</v>
      </c>
      <c r="E48" s="133">
        <v>16.38</v>
      </c>
      <c r="F48" s="133" t="s">
        <v>62</v>
      </c>
      <c r="G48" s="11"/>
      <c r="H48" s="2"/>
    </row>
    <row r="49" spans="1:8" ht="38.25" customHeight="1" x14ac:dyDescent="0.25">
      <c r="A49" s="130" t="s">
        <v>65</v>
      </c>
      <c r="B49" s="131" t="s">
        <v>29</v>
      </c>
      <c r="C49" s="132" t="s">
        <v>886</v>
      </c>
      <c r="D49" s="133" t="s">
        <v>62</v>
      </c>
      <c r="E49" s="133">
        <v>16.38</v>
      </c>
      <c r="F49" s="133" t="s">
        <v>62</v>
      </c>
      <c r="G49" s="11"/>
      <c r="H49" s="2"/>
    </row>
    <row r="50" spans="1:8" ht="47.25" customHeight="1" x14ac:dyDescent="0.25">
      <c r="A50" s="130" t="s">
        <v>66</v>
      </c>
      <c r="B50" s="131" t="s">
        <v>29</v>
      </c>
      <c r="C50" s="132" t="s">
        <v>887</v>
      </c>
      <c r="D50" s="133" t="s">
        <v>62</v>
      </c>
      <c r="E50" s="133">
        <v>16.38</v>
      </c>
      <c r="F50" s="133" t="s">
        <v>62</v>
      </c>
      <c r="G50" s="11"/>
      <c r="H50" s="2"/>
    </row>
    <row r="51" spans="1:8" ht="42.75" customHeight="1" x14ac:dyDescent="0.25">
      <c r="A51" s="130" t="s">
        <v>67</v>
      </c>
      <c r="B51" s="131" t="s">
        <v>29</v>
      </c>
      <c r="C51" s="132" t="s">
        <v>888</v>
      </c>
      <c r="D51" s="133">
        <v>12107128</v>
      </c>
      <c r="E51" s="133">
        <v>8198676.0499999998</v>
      </c>
      <c r="F51" s="133">
        <v>3908451.95</v>
      </c>
      <c r="G51" s="11"/>
      <c r="H51" s="2"/>
    </row>
    <row r="52" spans="1:8" ht="70.5" customHeight="1" x14ac:dyDescent="0.25">
      <c r="A52" s="130" t="s">
        <v>68</v>
      </c>
      <c r="B52" s="131" t="s">
        <v>29</v>
      </c>
      <c r="C52" s="132" t="s">
        <v>889</v>
      </c>
      <c r="D52" s="133">
        <v>11892128</v>
      </c>
      <c r="E52" s="133">
        <v>8198676.0499999998</v>
      </c>
      <c r="F52" s="133">
        <v>3693451.95</v>
      </c>
      <c r="G52" s="11"/>
      <c r="H52" s="2"/>
    </row>
    <row r="53" spans="1:8" ht="61.5" customHeight="1" x14ac:dyDescent="0.25">
      <c r="A53" s="130" t="s">
        <v>69</v>
      </c>
      <c r="B53" s="131" t="s">
        <v>29</v>
      </c>
      <c r="C53" s="132" t="s">
        <v>890</v>
      </c>
      <c r="D53" s="133">
        <v>5067000</v>
      </c>
      <c r="E53" s="133">
        <v>3811995.9</v>
      </c>
      <c r="F53" s="133">
        <v>1255004.1000000001</v>
      </c>
      <c r="G53" s="11"/>
      <c r="H53" s="2"/>
    </row>
    <row r="54" spans="1:8" ht="72" customHeight="1" x14ac:dyDescent="0.25">
      <c r="A54" s="130" t="s">
        <v>70</v>
      </c>
      <c r="B54" s="131" t="s">
        <v>29</v>
      </c>
      <c r="C54" s="132" t="s">
        <v>891</v>
      </c>
      <c r="D54" s="133">
        <v>5067000</v>
      </c>
      <c r="E54" s="133">
        <v>3811995.9</v>
      </c>
      <c r="F54" s="133">
        <v>1255004.1000000001</v>
      </c>
      <c r="G54" s="11"/>
      <c r="H54" s="2"/>
    </row>
    <row r="55" spans="1:8" ht="69" customHeight="1" x14ac:dyDescent="0.25">
      <c r="A55" s="130" t="s">
        <v>71</v>
      </c>
      <c r="B55" s="131" t="s">
        <v>29</v>
      </c>
      <c r="C55" s="132" t="s">
        <v>892</v>
      </c>
      <c r="D55" s="133">
        <v>286000</v>
      </c>
      <c r="E55" s="133">
        <v>166697.49</v>
      </c>
      <c r="F55" s="133">
        <v>119302.51</v>
      </c>
      <c r="G55" s="11"/>
      <c r="H55" s="2"/>
    </row>
    <row r="56" spans="1:8" ht="73.5" customHeight="1" x14ac:dyDescent="0.25">
      <c r="A56" s="130" t="s">
        <v>72</v>
      </c>
      <c r="B56" s="131" t="s">
        <v>29</v>
      </c>
      <c r="C56" s="132" t="s">
        <v>893</v>
      </c>
      <c r="D56" s="133">
        <v>286000</v>
      </c>
      <c r="E56" s="133">
        <v>166697.49</v>
      </c>
      <c r="F56" s="133">
        <v>119302.51</v>
      </c>
      <c r="G56" s="11"/>
      <c r="H56" s="2"/>
    </row>
    <row r="57" spans="1:8" ht="72" customHeight="1" x14ac:dyDescent="0.25">
      <c r="A57" s="130" t="s">
        <v>73</v>
      </c>
      <c r="B57" s="131" t="s">
        <v>29</v>
      </c>
      <c r="C57" s="132" t="s">
        <v>894</v>
      </c>
      <c r="D57" s="133">
        <v>6539128</v>
      </c>
      <c r="E57" s="133">
        <v>4219982.66</v>
      </c>
      <c r="F57" s="133">
        <v>2319145.34</v>
      </c>
      <c r="G57" s="11"/>
      <c r="H57" s="2"/>
    </row>
    <row r="58" spans="1:8" ht="63.75" customHeight="1" x14ac:dyDescent="0.25">
      <c r="A58" s="130" t="s">
        <v>74</v>
      </c>
      <c r="B58" s="131" t="s">
        <v>29</v>
      </c>
      <c r="C58" s="132" t="s">
        <v>895</v>
      </c>
      <c r="D58" s="133">
        <v>6539128</v>
      </c>
      <c r="E58" s="133">
        <v>4219982.66</v>
      </c>
      <c r="F58" s="133">
        <v>2319145.34</v>
      </c>
      <c r="G58" s="11"/>
      <c r="H58" s="2"/>
    </row>
    <row r="59" spans="1:8" ht="30" customHeight="1" x14ac:dyDescent="0.25">
      <c r="A59" s="130" t="s">
        <v>75</v>
      </c>
      <c r="B59" s="131" t="s">
        <v>29</v>
      </c>
      <c r="C59" s="132" t="s">
        <v>896</v>
      </c>
      <c r="D59" s="133">
        <v>200000</v>
      </c>
      <c r="E59" s="133" t="s">
        <v>62</v>
      </c>
      <c r="F59" s="133">
        <v>200000</v>
      </c>
      <c r="G59" s="11"/>
      <c r="H59" s="2"/>
    </row>
    <row r="60" spans="1:8" ht="37.5" customHeight="1" x14ac:dyDescent="0.25">
      <c r="A60" s="130" t="s">
        <v>76</v>
      </c>
      <c r="B60" s="131" t="s">
        <v>29</v>
      </c>
      <c r="C60" s="132" t="s">
        <v>897</v>
      </c>
      <c r="D60" s="133">
        <v>200000</v>
      </c>
      <c r="E60" s="133" t="s">
        <v>62</v>
      </c>
      <c r="F60" s="133">
        <v>200000</v>
      </c>
      <c r="G60" s="11"/>
      <c r="H60" s="2"/>
    </row>
    <row r="61" spans="1:8" ht="47.25" customHeight="1" x14ac:dyDescent="0.25">
      <c r="A61" s="130" t="s">
        <v>77</v>
      </c>
      <c r="B61" s="131" t="s">
        <v>29</v>
      </c>
      <c r="C61" s="132" t="s">
        <v>898</v>
      </c>
      <c r="D61" s="133">
        <v>200000</v>
      </c>
      <c r="E61" s="133" t="s">
        <v>62</v>
      </c>
      <c r="F61" s="133">
        <v>200000</v>
      </c>
      <c r="G61" s="11"/>
      <c r="H61" s="2"/>
    </row>
    <row r="62" spans="1:8" ht="69.75" customHeight="1" x14ac:dyDescent="0.25">
      <c r="A62" s="130" t="s">
        <v>78</v>
      </c>
      <c r="B62" s="131" t="s">
        <v>29</v>
      </c>
      <c r="C62" s="132" t="s">
        <v>899</v>
      </c>
      <c r="D62" s="133">
        <v>15000</v>
      </c>
      <c r="E62" s="133" t="s">
        <v>62</v>
      </c>
      <c r="F62" s="133">
        <v>15000</v>
      </c>
      <c r="G62" s="11"/>
      <c r="H62" s="2"/>
    </row>
    <row r="63" spans="1:8" ht="69.75" customHeight="1" x14ac:dyDescent="0.25">
      <c r="A63" s="130" t="s">
        <v>79</v>
      </c>
      <c r="B63" s="131" t="s">
        <v>29</v>
      </c>
      <c r="C63" s="132" t="s">
        <v>900</v>
      </c>
      <c r="D63" s="133">
        <v>15000</v>
      </c>
      <c r="E63" s="133" t="s">
        <v>62</v>
      </c>
      <c r="F63" s="133">
        <v>15000</v>
      </c>
      <c r="G63" s="11"/>
      <c r="H63" s="2"/>
    </row>
    <row r="64" spans="1:8" ht="70.5" customHeight="1" x14ac:dyDescent="0.25">
      <c r="A64" s="130" t="s">
        <v>80</v>
      </c>
      <c r="B64" s="131" t="s">
        <v>29</v>
      </c>
      <c r="C64" s="132" t="s">
        <v>901</v>
      </c>
      <c r="D64" s="133">
        <v>15000</v>
      </c>
      <c r="E64" s="133" t="s">
        <v>62</v>
      </c>
      <c r="F64" s="133">
        <v>15000</v>
      </c>
      <c r="G64" s="11"/>
      <c r="H64" s="2"/>
    </row>
    <row r="65" spans="1:8" ht="25.5" customHeight="1" x14ac:dyDescent="0.25">
      <c r="A65" s="130" t="s">
        <v>81</v>
      </c>
      <c r="B65" s="131" t="s">
        <v>29</v>
      </c>
      <c r="C65" s="132" t="s">
        <v>902</v>
      </c>
      <c r="D65" s="133">
        <v>2000</v>
      </c>
      <c r="E65" s="133" t="s">
        <v>62</v>
      </c>
      <c r="F65" s="133">
        <v>2000</v>
      </c>
      <c r="G65" s="11"/>
      <c r="H65" s="2"/>
    </row>
    <row r="66" spans="1:8" ht="20.25" customHeight="1" x14ac:dyDescent="0.25">
      <c r="A66" s="130" t="s">
        <v>82</v>
      </c>
      <c r="B66" s="131" t="s">
        <v>29</v>
      </c>
      <c r="C66" s="132" t="s">
        <v>903</v>
      </c>
      <c r="D66" s="133">
        <v>2000</v>
      </c>
      <c r="E66" s="133" t="s">
        <v>62</v>
      </c>
      <c r="F66" s="133">
        <v>2000</v>
      </c>
      <c r="G66" s="11"/>
      <c r="H66" s="2"/>
    </row>
    <row r="67" spans="1:8" ht="36" customHeight="1" x14ac:dyDescent="0.25">
      <c r="A67" s="130" t="s">
        <v>83</v>
      </c>
      <c r="B67" s="131" t="s">
        <v>29</v>
      </c>
      <c r="C67" s="132" t="s">
        <v>904</v>
      </c>
      <c r="D67" s="133">
        <v>1000</v>
      </c>
      <c r="E67" s="133" t="s">
        <v>62</v>
      </c>
      <c r="F67" s="133">
        <v>1000</v>
      </c>
      <c r="G67" s="11"/>
      <c r="H67" s="2"/>
    </row>
    <row r="68" spans="1:8" ht="48" customHeight="1" x14ac:dyDescent="0.25">
      <c r="A68" s="130" t="s">
        <v>84</v>
      </c>
      <c r="B68" s="131" t="s">
        <v>29</v>
      </c>
      <c r="C68" s="132" t="s">
        <v>905</v>
      </c>
      <c r="D68" s="133">
        <v>1000</v>
      </c>
      <c r="E68" s="133" t="s">
        <v>62</v>
      </c>
      <c r="F68" s="133">
        <v>1000</v>
      </c>
      <c r="G68" s="11"/>
      <c r="H68" s="2"/>
    </row>
    <row r="69" spans="1:8" ht="20.25" customHeight="1" x14ac:dyDescent="0.25">
      <c r="A69" s="130" t="s">
        <v>85</v>
      </c>
      <c r="B69" s="131" t="s">
        <v>29</v>
      </c>
      <c r="C69" s="132" t="s">
        <v>906</v>
      </c>
      <c r="D69" s="133">
        <v>1000</v>
      </c>
      <c r="E69" s="133" t="s">
        <v>62</v>
      </c>
      <c r="F69" s="133">
        <v>1000</v>
      </c>
      <c r="G69" s="11"/>
      <c r="H69" s="2"/>
    </row>
    <row r="70" spans="1:8" ht="28.5" customHeight="1" x14ac:dyDescent="0.25">
      <c r="A70" s="130" t="s">
        <v>86</v>
      </c>
      <c r="B70" s="131" t="s">
        <v>29</v>
      </c>
      <c r="C70" s="132" t="s">
        <v>907</v>
      </c>
      <c r="D70" s="133">
        <v>1000</v>
      </c>
      <c r="E70" s="133" t="s">
        <v>62</v>
      </c>
      <c r="F70" s="133">
        <v>1000</v>
      </c>
      <c r="G70" s="11"/>
      <c r="H70" s="2"/>
    </row>
    <row r="71" spans="1:8" ht="28.5" customHeight="1" x14ac:dyDescent="0.25">
      <c r="A71" s="130" t="s">
        <v>87</v>
      </c>
      <c r="B71" s="131" t="s">
        <v>29</v>
      </c>
      <c r="C71" s="132" t="s">
        <v>908</v>
      </c>
      <c r="D71" s="133">
        <v>2015000</v>
      </c>
      <c r="E71" s="133">
        <v>285557.33</v>
      </c>
      <c r="F71" s="133">
        <v>1729442.67</v>
      </c>
      <c r="G71" s="11"/>
      <c r="H71" s="2"/>
    </row>
    <row r="72" spans="1:8" ht="72" customHeight="1" x14ac:dyDescent="0.25">
      <c r="A72" s="130" t="s">
        <v>88</v>
      </c>
      <c r="B72" s="131" t="s">
        <v>29</v>
      </c>
      <c r="C72" s="132" t="s">
        <v>909</v>
      </c>
      <c r="D72" s="133">
        <v>1004000</v>
      </c>
      <c r="E72" s="133">
        <v>192928.75</v>
      </c>
      <c r="F72" s="133">
        <v>811071.25</v>
      </c>
      <c r="G72" s="11"/>
      <c r="H72" s="2"/>
    </row>
    <row r="73" spans="1:8" ht="79.5" customHeight="1" x14ac:dyDescent="0.25">
      <c r="A73" s="130" t="s">
        <v>89</v>
      </c>
      <c r="B73" s="131" t="s">
        <v>29</v>
      </c>
      <c r="C73" s="132" t="s">
        <v>910</v>
      </c>
      <c r="D73" s="133">
        <v>1004000</v>
      </c>
      <c r="E73" s="133">
        <v>192928.75</v>
      </c>
      <c r="F73" s="133">
        <v>811071.25</v>
      </c>
      <c r="G73" s="11"/>
      <c r="H73" s="2"/>
    </row>
    <row r="74" spans="1:8" ht="71.25" customHeight="1" x14ac:dyDescent="0.25">
      <c r="A74" s="130" t="s">
        <v>90</v>
      </c>
      <c r="B74" s="131" t="s">
        <v>29</v>
      </c>
      <c r="C74" s="132" t="s">
        <v>911</v>
      </c>
      <c r="D74" s="133">
        <v>1004000</v>
      </c>
      <c r="E74" s="133">
        <v>192928.75</v>
      </c>
      <c r="F74" s="133">
        <v>811071.25</v>
      </c>
      <c r="G74" s="11"/>
      <c r="H74" s="2"/>
    </row>
    <row r="75" spans="1:8" ht="26.25" customHeight="1" x14ac:dyDescent="0.25">
      <c r="A75" s="130" t="s">
        <v>91</v>
      </c>
      <c r="B75" s="131" t="s">
        <v>29</v>
      </c>
      <c r="C75" s="132" t="s">
        <v>912</v>
      </c>
      <c r="D75" s="133">
        <v>1011000</v>
      </c>
      <c r="E75" s="133">
        <v>92628.58</v>
      </c>
      <c r="F75" s="133">
        <v>918371.42</v>
      </c>
      <c r="G75" s="11"/>
      <c r="H75" s="2"/>
    </row>
    <row r="76" spans="1:8" ht="39.75" customHeight="1" x14ac:dyDescent="0.25">
      <c r="A76" s="130" t="s">
        <v>92</v>
      </c>
      <c r="B76" s="131" t="s">
        <v>29</v>
      </c>
      <c r="C76" s="132" t="s">
        <v>913</v>
      </c>
      <c r="D76" s="133">
        <v>1011000</v>
      </c>
      <c r="E76" s="133">
        <v>92628.58</v>
      </c>
      <c r="F76" s="133">
        <v>918371.42</v>
      </c>
      <c r="G76" s="11"/>
      <c r="H76" s="2"/>
    </row>
    <row r="77" spans="1:8" ht="45" customHeight="1" x14ac:dyDescent="0.25">
      <c r="A77" s="130" t="s">
        <v>93</v>
      </c>
      <c r="B77" s="131" t="s">
        <v>29</v>
      </c>
      <c r="C77" s="132" t="s">
        <v>914</v>
      </c>
      <c r="D77" s="133">
        <v>1011000</v>
      </c>
      <c r="E77" s="133">
        <v>92628.58</v>
      </c>
      <c r="F77" s="133">
        <v>918371.42</v>
      </c>
      <c r="G77" s="11"/>
      <c r="H77" s="2"/>
    </row>
    <row r="78" spans="1:8" ht="20.25" customHeight="1" x14ac:dyDescent="0.25">
      <c r="A78" s="130" t="s">
        <v>94</v>
      </c>
      <c r="B78" s="131" t="s">
        <v>29</v>
      </c>
      <c r="C78" s="132" t="s">
        <v>915</v>
      </c>
      <c r="D78" s="133">
        <v>85000</v>
      </c>
      <c r="E78" s="133">
        <v>76609.2</v>
      </c>
      <c r="F78" s="133">
        <v>11390.8</v>
      </c>
      <c r="G78" s="11"/>
      <c r="H78" s="2"/>
    </row>
    <row r="79" spans="1:8" ht="36" customHeight="1" x14ac:dyDescent="0.25">
      <c r="A79" s="130" t="s">
        <v>95</v>
      </c>
      <c r="B79" s="131" t="s">
        <v>29</v>
      </c>
      <c r="C79" s="132" t="s">
        <v>916</v>
      </c>
      <c r="D79" s="133">
        <v>1000</v>
      </c>
      <c r="E79" s="133" t="s">
        <v>62</v>
      </c>
      <c r="F79" s="133">
        <v>1000</v>
      </c>
      <c r="G79" s="11"/>
      <c r="H79" s="2"/>
    </row>
    <row r="80" spans="1:8" ht="45.75" customHeight="1" x14ac:dyDescent="0.25">
      <c r="A80" s="130" t="s">
        <v>96</v>
      </c>
      <c r="B80" s="131" t="s">
        <v>29</v>
      </c>
      <c r="C80" s="132" t="s">
        <v>917</v>
      </c>
      <c r="D80" s="133">
        <v>1000</v>
      </c>
      <c r="E80" s="133" t="s">
        <v>62</v>
      </c>
      <c r="F80" s="133">
        <v>1000</v>
      </c>
      <c r="G80" s="11"/>
      <c r="H80" s="2"/>
    </row>
    <row r="81" spans="1:8" ht="26.25" customHeight="1" x14ac:dyDescent="0.25">
      <c r="A81" s="130" t="s">
        <v>97</v>
      </c>
      <c r="B81" s="131" t="s">
        <v>29</v>
      </c>
      <c r="C81" s="132" t="s">
        <v>918</v>
      </c>
      <c r="D81" s="133">
        <v>1000</v>
      </c>
      <c r="E81" s="133" t="s">
        <v>62</v>
      </c>
      <c r="F81" s="133">
        <v>1000</v>
      </c>
      <c r="G81" s="11"/>
      <c r="H81" s="2"/>
    </row>
    <row r="82" spans="1:8" ht="39.75" customHeight="1" x14ac:dyDescent="0.25">
      <c r="A82" s="130" t="s">
        <v>98</v>
      </c>
      <c r="B82" s="131" t="s">
        <v>29</v>
      </c>
      <c r="C82" s="132" t="s">
        <v>919</v>
      </c>
      <c r="D82" s="133">
        <v>1000</v>
      </c>
      <c r="E82" s="133" t="s">
        <v>62</v>
      </c>
      <c r="F82" s="133">
        <v>1000</v>
      </c>
      <c r="G82" s="11"/>
      <c r="H82" s="2"/>
    </row>
    <row r="83" spans="1:8" ht="50.25" customHeight="1" x14ac:dyDescent="0.25">
      <c r="A83" s="130" t="s">
        <v>99</v>
      </c>
      <c r="B83" s="131" t="s">
        <v>29</v>
      </c>
      <c r="C83" s="132" t="s">
        <v>920</v>
      </c>
      <c r="D83" s="133">
        <v>1000</v>
      </c>
      <c r="E83" s="133" t="s">
        <v>62</v>
      </c>
      <c r="F83" s="133">
        <v>1000</v>
      </c>
      <c r="G83" s="11"/>
      <c r="H83" s="2"/>
    </row>
    <row r="84" spans="1:8" ht="48.75" customHeight="1" x14ac:dyDescent="0.25">
      <c r="A84" s="130" t="s">
        <v>921</v>
      </c>
      <c r="B84" s="131" t="s">
        <v>29</v>
      </c>
      <c r="C84" s="132" t="s">
        <v>922</v>
      </c>
      <c r="D84" s="133" t="s">
        <v>62</v>
      </c>
      <c r="E84" s="133">
        <v>3000</v>
      </c>
      <c r="F84" s="133" t="s">
        <v>62</v>
      </c>
      <c r="G84" s="11"/>
      <c r="H84" s="2"/>
    </row>
    <row r="85" spans="1:8" ht="63" customHeight="1" x14ac:dyDescent="0.25">
      <c r="A85" s="130" t="s">
        <v>923</v>
      </c>
      <c r="B85" s="131" t="s">
        <v>29</v>
      </c>
      <c r="C85" s="132" t="s">
        <v>924</v>
      </c>
      <c r="D85" s="133" t="s">
        <v>62</v>
      </c>
      <c r="E85" s="133">
        <v>3000</v>
      </c>
      <c r="F85" s="133" t="s">
        <v>62</v>
      </c>
      <c r="G85" s="11"/>
      <c r="H85" s="2"/>
    </row>
    <row r="86" spans="1:8" ht="91.5" customHeight="1" x14ac:dyDescent="0.25">
      <c r="A86" s="130" t="s">
        <v>925</v>
      </c>
      <c r="B86" s="131" t="s">
        <v>29</v>
      </c>
      <c r="C86" s="132" t="s">
        <v>926</v>
      </c>
      <c r="D86" s="133" t="s">
        <v>62</v>
      </c>
      <c r="E86" s="133">
        <v>3000</v>
      </c>
      <c r="F86" s="133" t="s">
        <v>62</v>
      </c>
      <c r="G86" s="11"/>
      <c r="H86" s="2"/>
    </row>
    <row r="87" spans="1:8" ht="48.75" customHeight="1" x14ac:dyDescent="0.25">
      <c r="A87" s="130" t="s">
        <v>100</v>
      </c>
      <c r="B87" s="131" t="s">
        <v>29</v>
      </c>
      <c r="C87" s="132" t="s">
        <v>927</v>
      </c>
      <c r="D87" s="133">
        <v>1000</v>
      </c>
      <c r="E87" s="133" t="s">
        <v>62</v>
      </c>
      <c r="F87" s="133">
        <v>1000</v>
      </c>
      <c r="G87" s="11"/>
      <c r="H87" s="2"/>
    </row>
    <row r="88" spans="1:8" ht="60.75" customHeight="1" x14ac:dyDescent="0.25">
      <c r="A88" s="130" t="s">
        <v>101</v>
      </c>
      <c r="B88" s="131" t="s">
        <v>29</v>
      </c>
      <c r="C88" s="132" t="s">
        <v>928</v>
      </c>
      <c r="D88" s="133">
        <v>1000</v>
      </c>
      <c r="E88" s="133" t="s">
        <v>62</v>
      </c>
      <c r="F88" s="133">
        <v>1000</v>
      </c>
      <c r="G88" s="11"/>
      <c r="H88" s="2"/>
    </row>
    <row r="89" spans="1:8" ht="34.5" customHeight="1" x14ac:dyDescent="0.25">
      <c r="A89" s="130" t="s">
        <v>102</v>
      </c>
      <c r="B89" s="131" t="s">
        <v>29</v>
      </c>
      <c r="C89" s="132" t="s">
        <v>929</v>
      </c>
      <c r="D89" s="133">
        <v>35000</v>
      </c>
      <c r="E89" s="133">
        <v>27561.01</v>
      </c>
      <c r="F89" s="133">
        <v>7438.99</v>
      </c>
      <c r="G89" s="11"/>
      <c r="H89" s="2"/>
    </row>
    <row r="90" spans="1:8" ht="47.25" customHeight="1" x14ac:dyDescent="0.25">
      <c r="A90" s="130" t="s">
        <v>103</v>
      </c>
      <c r="B90" s="131" t="s">
        <v>29</v>
      </c>
      <c r="C90" s="132" t="s">
        <v>930</v>
      </c>
      <c r="D90" s="133">
        <v>35000</v>
      </c>
      <c r="E90" s="133">
        <v>27561.01</v>
      </c>
      <c r="F90" s="133">
        <v>7438.99</v>
      </c>
      <c r="G90" s="11"/>
      <c r="H90" s="2"/>
    </row>
    <row r="91" spans="1:8" ht="24" customHeight="1" x14ac:dyDescent="0.25">
      <c r="A91" s="130" t="s">
        <v>104</v>
      </c>
      <c r="B91" s="131" t="s">
        <v>29</v>
      </c>
      <c r="C91" s="132" t="s">
        <v>931</v>
      </c>
      <c r="D91" s="133">
        <v>47000</v>
      </c>
      <c r="E91" s="133">
        <v>46048.19</v>
      </c>
      <c r="F91" s="133">
        <v>951.81</v>
      </c>
      <c r="G91" s="11"/>
      <c r="H91" s="2"/>
    </row>
    <row r="92" spans="1:8" ht="36" customHeight="1" x14ac:dyDescent="0.25">
      <c r="A92" s="130" t="s">
        <v>105</v>
      </c>
      <c r="B92" s="131" t="s">
        <v>29</v>
      </c>
      <c r="C92" s="132" t="s">
        <v>932</v>
      </c>
      <c r="D92" s="133">
        <v>47000</v>
      </c>
      <c r="E92" s="133">
        <v>46048.19</v>
      </c>
      <c r="F92" s="133">
        <v>951.81</v>
      </c>
      <c r="G92" s="11"/>
      <c r="H92" s="2"/>
    </row>
    <row r="93" spans="1:8" ht="15.75" customHeight="1" x14ac:dyDescent="0.25">
      <c r="A93" s="130" t="s">
        <v>106</v>
      </c>
      <c r="B93" s="131" t="s">
        <v>29</v>
      </c>
      <c r="C93" s="132" t="s">
        <v>933</v>
      </c>
      <c r="D93" s="133">
        <v>6000</v>
      </c>
      <c r="E93" s="133">
        <v>-1768.17</v>
      </c>
      <c r="F93" s="133">
        <v>6000</v>
      </c>
      <c r="G93" s="11"/>
      <c r="H93" s="2"/>
    </row>
    <row r="94" spans="1:8" ht="19.5" customHeight="1" x14ac:dyDescent="0.25">
      <c r="A94" s="130" t="s">
        <v>107</v>
      </c>
      <c r="B94" s="131" t="s">
        <v>29</v>
      </c>
      <c r="C94" s="132" t="s">
        <v>934</v>
      </c>
      <c r="D94" s="133" t="s">
        <v>62</v>
      </c>
      <c r="E94" s="133">
        <v>-1768.17</v>
      </c>
      <c r="F94" s="133" t="s">
        <v>62</v>
      </c>
      <c r="G94" s="11"/>
      <c r="H94" s="2"/>
    </row>
    <row r="95" spans="1:8" ht="24" customHeight="1" x14ac:dyDescent="0.25">
      <c r="A95" s="130" t="s">
        <v>108</v>
      </c>
      <c r="B95" s="131" t="s">
        <v>29</v>
      </c>
      <c r="C95" s="132" t="s">
        <v>935</v>
      </c>
      <c r="D95" s="133" t="s">
        <v>62</v>
      </c>
      <c r="E95" s="133">
        <v>-1768.17</v>
      </c>
      <c r="F95" s="133" t="s">
        <v>62</v>
      </c>
      <c r="G95" s="11"/>
      <c r="H95" s="2"/>
    </row>
    <row r="96" spans="1:8" ht="15" customHeight="1" x14ac:dyDescent="0.25">
      <c r="A96" s="130" t="s">
        <v>109</v>
      </c>
      <c r="B96" s="131" t="s">
        <v>29</v>
      </c>
      <c r="C96" s="132" t="s">
        <v>936</v>
      </c>
      <c r="D96" s="133">
        <v>6000</v>
      </c>
      <c r="E96" s="133" t="s">
        <v>62</v>
      </c>
      <c r="F96" s="133">
        <v>6000</v>
      </c>
      <c r="G96" s="11"/>
      <c r="H96" s="2"/>
    </row>
    <row r="97" spans="1:8" ht="27" customHeight="1" x14ac:dyDescent="0.25">
      <c r="A97" s="130" t="s">
        <v>110</v>
      </c>
      <c r="B97" s="131" t="s">
        <v>29</v>
      </c>
      <c r="C97" s="132" t="s">
        <v>937</v>
      </c>
      <c r="D97" s="133">
        <v>6000</v>
      </c>
      <c r="E97" s="133" t="s">
        <v>62</v>
      </c>
      <c r="F97" s="133">
        <v>6000</v>
      </c>
      <c r="G97" s="11"/>
      <c r="H97" s="2"/>
    </row>
    <row r="98" spans="1:8" ht="15" customHeight="1" x14ac:dyDescent="0.25">
      <c r="A98" s="130" t="s">
        <v>112</v>
      </c>
      <c r="B98" s="131" t="s">
        <v>29</v>
      </c>
      <c r="C98" s="132" t="s">
        <v>938</v>
      </c>
      <c r="D98" s="133">
        <v>173894609.69999999</v>
      </c>
      <c r="E98" s="133">
        <v>44939845.399999999</v>
      </c>
      <c r="F98" s="133">
        <v>128954764.3</v>
      </c>
      <c r="G98" s="11"/>
      <c r="H98" s="2"/>
    </row>
    <row r="99" spans="1:8" ht="27" customHeight="1" x14ac:dyDescent="0.25">
      <c r="A99" s="130" t="s">
        <v>113</v>
      </c>
      <c r="B99" s="131" t="s">
        <v>29</v>
      </c>
      <c r="C99" s="132" t="s">
        <v>939</v>
      </c>
      <c r="D99" s="133">
        <v>175361420</v>
      </c>
      <c r="E99" s="133">
        <v>46406655.700000003</v>
      </c>
      <c r="F99" s="133">
        <v>128954764.3</v>
      </c>
      <c r="G99" s="11"/>
      <c r="H99" s="2"/>
    </row>
    <row r="100" spans="1:8" ht="24.75" customHeight="1" x14ac:dyDescent="0.25">
      <c r="A100" s="130" t="s">
        <v>114</v>
      </c>
      <c r="B100" s="131" t="s">
        <v>29</v>
      </c>
      <c r="C100" s="132" t="s">
        <v>940</v>
      </c>
      <c r="D100" s="133">
        <v>28330900</v>
      </c>
      <c r="E100" s="133">
        <v>20895000</v>
      </c>
      <c r="F100" s="133">
        <v>7435900</v>
      </c>
      <c r="G100" s="11"/>
      <c r="H100" s="2"/>
    </row>
    <row r="101" spans="1:8" ht="15" customHeight="1" x14ac:dyDescent="0.25">
      <c r="A101" s="130" t="s">
        <v>115</v>
      </c>
      <c r="B101" s="131" t="s">
        <v>29</v>
      </c>
      <c r="C101" s="132" t="s">
        <v>941</v>
      </c>
      <c r="D101" s="133">
        <v>28330900</v>
      </c>
      <c r="E101" s="133">
        <v>20895000</v>
      </c>
      <c r="F101" s="133">
        <v>7435900</v>
      </c>
      <c r="G101" s="11"/>
      <c r="H101" s="2"/>
    </row>
    <row r="102" spans="1:8" ht="27" customHeight="1" x14ac:dyDescent="0.25">
      <c r="A102" s="130" t="s">
        <v>116</v>
      </c>
      <c r="B102" s="131" t="s">
        <v>29</v>
      </c>
      <c r="C102" s="132" t="s">
        <v>942</v>
      </c>
      <c r="D102" s="133">
        <v>28330900</v>
      </c>
      <c r="E102" s="133">
        <v>20895000</v>
      </c>
      <c r="F102" s="133">
        <v>7435900</v>
      </c>
      <c r="G102" s="11"/>
      <c r="H102" s="2"/>
    </row>
    <row r="103" spans="1:8" ht="27" customHeight="1" x14ac:dyDescent="0.25">
      <c r="A103" s="130" t="s">
        <v>117</v>
      </c>
      <c r="B103" s="131" t="s">
        <v>29</v>
      </c>
      <c r="C103" s="132" t="s">
        <v>943</v>
      </c>
      <c r="D103" s="133">
        <v>141573120</v>
      </c>
      <c r="E103" s="133">
        <v>21218275.699999999</v>
      </c>
      <c r="F103" s="133">
        <v>120354844.3</v>
      </c>
      <c r="G103" s="11"/>
      <c r="H103" s="2"/>
    </row>
    <row r="104" spans="1:8" ht="34.5" customHeight="1" x14ac:dyDescent="0.25">
      <c r="A104" s="130" t="s">
        <v>944</v>
      </c>
      <c r="B104" s="131" t="s">
        <v>29</v>
      </c>
      <c r="C104" s="132" t="s">
        <v>945</v>
      </c>
      <c r="D104" s="133">
        <v>11698600</v>
      </c>
      <c r="E104" s="133" t="s">
        <v>62</v>
      </c>
      <c r="F104" s="133">
        <v>11698600</v>
      </c>
      <c r="G104" s="11"/>
      <c r="H104" s="2"/>
    </row>
    <row r="105" spans="1:8" ht="36" customHeight="1" x14ac:dyDescent="0.25">
      <c r="A105" s="130" t="s">
        <v>946</v>
      </c>
      <c r="B105" s="131" t="s">
        <v>29</v>
      </c>
      <c r="C105" s="132" t="s">
        <v>947</v>
      </c>
      <c r="D105" s="133">
        <v>11698600</v>
      </c>
      <c r="E105" s="133" t="s">
        <v>62</v>
      </c>
      <c r="F105" s="133">
        <v>11698600</v>
      </c>
      <c r="G105" s="11"/>
      <c r="H105" s="2"/>
    </row>
    <row r="106" spans="1:8" ht="48" customHeight="1" x14ac:dyDescent="0.25">
      <c r="A106" s="130" t="s">
        <v>118</v>
      </c>
      <c r="B106" s="131" t="s">
        <v>29</v>
      </c>
      <c r="C106" s="132" t="s">
        <v>948</v>
      </c>
      <c r="D106" s="133">
        <v>120621620</v>
      </c>
      <c r="E106" s="133">
        <v>17433975.699999999</v>
      </c>
      <c r="F106" s="133">
        <v>103187644.3</v>
      </c>
      <c r="G106" s="11"/>
      <c r="H106" s="2"/>
    </row>
    <row r="107" spans="1:8" ht="54" customHeight="1" x14ac:dyDescent="0.25">
      <c r="A107" s="130" t="s">
        <v>119</v>
      </c>
      <c r="B107" s="131" t="s">
        <v>29</v>
      </c>
      <c r="C107" s="132" t="s">
        <v>949</v>
      </c>
      <c r="D107" s="133">
        <v>120621620</v>
      </c>
      <c r="E107" s="133">
        <v>17433975.699999999</v>
      </c>
      <c r="F107" s="133">
        <v>103187644.3</v>
      </c>
      <c r="G107" s="11"/>
      <c r="H107" s="2"/>
    </row>
    <row r="108" spans="1:8" ht="18.75" customHeight="1" x14ac:dyDescent="0.25">
      <c r="A108" s="130" t="s">
        <v>120</v>
      </c>
      <c r="B108" s="131" t="s">
        <v>29</v>
      </c>
      <c r="C108" s="132" t="s">
        <v>950</v>
      </c>
      <c r="D108" s="133">
        <v>9252900</v>
      </c>
      <c r="E108" s="133">
        <v>3784300</v>
      </c>
      <c r="F108" s="133">
        <v>5468600</v>
      </c>
      <c r="G108" s="11"/>
      <c r="H108" s="2"/>
    </row>
    <row r="109" spans="1:8" ht="17.25" customHeight="1" x14ac:dyDescent="0.25">
      <c r="A109" s="130" t="s">
        <v>121</v>
      </c>
      <c r="B109" s="131" t="s">
        <v>29</v>
      </c>
      <c r="C109" s="132" t="s">
        <v>951</v>
      </c>
      <c r="D109" s="133">
        <v>9252900</v>
      </c>
      <c r="E109" s="133">
        <v>3784300</v>
      </c>
      <c r="F109" s="133">
        <v>5468600</v>
      </c>
      <c r="G109" s="11"/>
      <c r="H109" s="2"/>
    </row>
    <row r="110" spans="1:8" ht="24" customHeight="1" x14ac:dyDescent="0.25">
      <c r="A110" s="130" t="s">
        <v>122</v>
      </c>
      <c r="B110" s="131" t="s">
        <v>29</v>
      </c>
      <c r="C110" s="132" t="s">
        <v>952</v>
      </c>
      <c r="D110" s="133">
        <v>134100</v>
      </c>
      <c r="E110" s="133">
        <v>93380</v>
      </c>
      <c r="F110" s="133">
        <v>40720</v>
      </c>
      <c r="G110" s="11"/>
      <c r="H110" s="2"/>
    </row>
    <row r="111" spans="1:8" ht="39.75" customHeight="1" x14ac:dyDescent="0.25">
      <c r="A111" s="130" t="s">
        <v>123</v>
      </c>
      <c r="B111" s="131" t="s">
        <v>29</v>
      </c>
      <c r="C111" s="132" t="s">
        <v>953</v>
      </c>
      <c r="D111" s="133">
        <v>134100</v>
      </c>
      <c r="E111" s="133">
        <v>93380</v>
      </c>
      <c r="F111" s="133">
        <v>40720</v>
      </c>
      <c r="G111" s="11"/>
      <c r="H111" s="2"/>
    </row>
    <row r="112" spans="1:8" ht="40.5" customHeight="1" x14ac:dyDescent="0.25">
      <c r="A112" s="130" t="s">
        <v>124</v>
      </c>
      <c r="B112" s="131" t="s">
        <v>29</v>
      </c>
      <c r="C112" s="132" t="s">
        <v>954</v>
      </c>
      <c r="D112" s="133">
        <v>134100</v>
      </c>
      <c r="E112" s="133">
        <v>93380</v>
      </c>
      <c r="F112" s="133">
        <v>40720</v>
      </c>
      <c r="G112" s="11"/>
      <c r="H112" s="2"/>
    </row>
    <row r="113" spans="1:8" ht="15" customHeight="1" x14ac:dyDescent="0.25">
      <c r="A113" s="130" t="s">
        <v>125</v>
      </c>
      <c r="B113" s="131" t="s">
        <v>29</v>
      </c>
      <c r="C113" s="132" t="s">
        <v>955</v>
      </c>
      <c r="D113" s="133">
        <v>5323300</v>
      </c>
      <c r="E113" s="133">
        <v>4200000</v>
      </c>
      <c r="F113" s="133">
        <v>1123300</v>
      </c>
      <c r="G113" s="11"/>
      <c r="H113" s="2"/>
    </row>
    <row r="114" spans="1:8" ht="24" customHeight="1" x14ac:dyDescent="0.25">
      <c r="A114" s="130" t="s">
        <v>126</v>
      </c>
      <c r="B114" s="131" t="s">
        <v>29</v>
      </c>
      <c r="C114" s="132" t="s">
        <v>956</v>
      </c>
      <c r="D114" s="133">
        <v>5323300</v>
      </c>
      <c r="E114" s="133">
        <v>4200000</v>
      </c>
      <c r="F114" s="133">
        <v>1123300</v>
      </c>
      <c r="G114" s="11"/>
      <c r="H114" s="2"/>
    </row>
    <row r="115" spans="1:8" ht="24.75" customHeight="1" x14ac:dyDescent="0.25">
      <c r="A115" s="130" t="s">
        <v>127</v>
      </c>
      <c r="B115" s="131" t="s">
        <v>29</v>
      </c>
      <c r="C115" s="132" t="s">
        <v>957</v>
      </c>
      <c r="D115" s="133">
        <v>5323300</v>
      </c>
      <c r="E115" s="133">
        <v>4200000</v>
      </c>
      <c r="F115" s="133">
        <v>1123300</v>
      </c>
      <c r="G115" s="11"/>
      <c r="H115" s="2"/>
    </row>
    <row r="116" spans="1:8" ht="38.25" customHeight="1" x14ac:dyDescent="0.25">
      <c r="A116" s="130" t="s">
        <v>128</v>
      </c>
      <c r="B116" s="131" t="s">
        <v>29</v>
      </c>
      <c r="C116" s="132" t="s">
        <v>958</v>
      </c>
      <c r="D116" s="133">
        <v>-1466810.3</v>
      </c>
      <c r="E116" s="133">
        <v>-1466810.3</v>
      </c>
      <c r="F116" s="133" t="s">
        <v>62</v>
      </c>
      <c r="G116" s="11"/>
      <c r="H116" s="2"/>
    </row>
    <row r="117" spans="1:8" ht="51.75" customHeight="1" x14ac:dyDescent="0.25">
      <c r="A117" s="130" t="s">
        <v>129</v>
      </c>
      <c r="B117" s="131" t="s">
        <v>29</v>
      </c>
      <c r="C117" s="132" t="s">
        <v>959</v>
      </c>
      <c r="D117" s="133">
        <v>-1466810.3</v>
      </c>
      <c r="E117" s="133">
        <v>-1466810.3</v>
      </c>
      <c r="F117" s="133" t="s">
        <v>62</v>
      </c>
      <c r="G117" s="11"/>
      <c r="H117" s="2"/>
    </row>
    <row r="118" spans="1:8" ht="51.75" customHeight="1" x14ac:dyDescent="0.25">
      <c r="A118" s="107"/>
      <c r="B118" s="107"/>
      <c r="C118" s="107"/>
      <c r="D118" s="107"/>
      <c r="E118" s="107"/>
      <c r="F118" s="107"/>
      <c r="G118" s="11"/>
      <c r="H118" s="2"/>
    </row>
    <row r="119" spans="1:8" ht="15" customHeight="1" x14ac:dyDescent="0.25">
      <c r="A119" s="62"/>
      <c r="B119" s="62"/>
      <c r="C119" s="62"/>
      <c r="D119" s="62"/>
      <c r="E119" s="62"/>
      <c r="F119" s="62"/>
      <c r="G119" s="7"/>
      <c r="H119" s="7"/>
    </row>
  </sheetData>
  <mergeCells count="10">
    <mergeCell ref="C12:C14"/>
    <mergeCell ref="D12:D14"/>
    <mergeCell ref="E12:E14"/>
    <mergeCell ref="F12:F14"/>
    <mergeCell ref="A2:E2"/>
    <mergeCell ref="B7:D7"/>
    <mergeCell ref="B8:D8"/>
    <mergeCell ref="A11:F11"/>
    <mergeCell ref="A12:A14"/>
    <mergeCell ref="B12:B14"/>
  </mergeCells>
  <pageMargins left="0.39374999999999999" right="0.39374999999999999" top="0.39374999999999999" bottom="0.39374999999999999" header="0.51180550000000002" footer="0.51180550000000002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19"/>
  <sheetViews>
    <sheetView tabSelected="1" topLeftCell="A325" zoomScaleNormal="100" workbookViewId="0">
      <selection activeCell="A330" sqref="A330"/>
    </sheetView>
  </sheetViews>
  <sheetFormatPr defaultRowHeight="15" x14ac:dyDescent="0.25"/>
  <cols>
    <col min="1" max="1" width="51.28515625" style="1" customWidth="1"/>
    <col min="2" max="2" width="8.85546875" style="1" customWidth="1"/>
    <col min="3" max="6" width="19.85546875" style="1" customWidth="1"/>
    <col min="7" max="7" width="9.140625" style="1"/>
    <col min="8" max="8" width="37" style="1" customWidth="1"/>
    <col min="9" max="16384" width="9.140625" style="1"/>
  </cols>
  <sheetData>
    <row r="1" spans="1:13" ht="14.1" customHeight="1" x14ac:dyDescent="0.25">
      <c r="A1" s="180" t="s">
        <v>130</v>
      </c>
      <c r="B1" s="180"/>
      <c r="C1" s="180"/>
      <c r="D1" s="180"/>
      <c r="E1" s="180"/>
      <c r="F1" s="19" t="s">
        <v>131</v>
      </c>
      <c r="G1" s="9"/>
      <c r="H1" s="9"/>
    </row>
    <row r="2" spans="1:13" ht="14.1" customHeight="1" x14ac:dyDescent="0.25">
      <c r="A2" s="8"/>
      <c r="B2" s="8"/>
      <c r="C2" s="8"/>
      <c r="D2" s="8"/>
      <c r="E2" s="8"/>
      <c r="F2" s="8"/>
      <c r="G2" s="9"/>
      <c r="H2" s="9"/>
    </row>
    <row r="3" spans="1:13" ht="12" customHeight="1" x14ac:dyDescent="0.25">
      <c r="A3" s="179" t="s">
        <v>19</v>
      </c>
      <c r="B3" s="179" t="s">
        <v>20</v>
      </c>
      <c r="C3" s="179" t="s">
        <v>132</v>
      </c>
      <c r="D3" s="181" t="s">
        <v>22</v>
      </c>
      <c r="E3" s="181" t="s">
        <v>23</v>
      </c>
      <c r="F3" s="179" t="s">
        <v>24</v>
      </c>
      <c r="G3" s="20"/>
      <c r="H3" s="9"/>
    </row>
    <row r="4" spans="1:13" ht="12" customHeight="1" x14ac:dyDescent="0.25">
      <c r="A4" s="179"/>
      <c r="B4" s="179"/>
      <c r="C4" s="179"/>
      <c r="D4" s="181"/>
      <c r="E4" s="181"/>
      <c r="F4" s="179"/>
      <c r="G4" s="20"/>
      <c r="H4" s="9"/>
    </row>
    <row r="5" spans="1:13" ht="11.1" customHeight="1" x14ac:dyDescent="0.25">
      <c r="A5" s="179"/>
      <c r="B5" s="179"/>
      <c r="C5" s="179"/>
      <c r="D5" s="181"/>
      <c r="E5" s="181"/>
      <c r="F5" s="179"/>
      <c r="G5" s="20"/>
      <c r="H5" s="9"/>
    </row>
    <row r="6" spans="1:13" ht="12" customHeight="1" thickBot="1" x14ac:dyDescent="0.3">
      <c r="A6" s="12">
        <v>1</v>
      </c>
      <c r="B6" s="13">
        <v>2</v>
      </c>
      <c r="C6" s="21">
        <v>3</v>
      </c>
      <c r="D6" s="22" t="s">
        <v>25</v>
      </c>
      <c r="E6" s="22" t="s">
        <v>26</v>
      </c>
      <c r="F6" s="22" t="s">
        <v>27</v>
      </c>
      <c r="G6" s="23"/>
      <c r="H6" s="24"/>
    </row>
    <row r="7" spans="1:13" ht="16.5" customHeight="1" x14ac:dyDescent="0.25">
      <c r="A7" s="14" t="s">
        <v>133</v>
      </c>
      <c r="B7" s="25">
        <v>200</v>
      </c>
      <c r="C7" s="15" t="s">
        <v>30</v>
      </c>
      <c r="D7" s="16">
        <f>D9+D452</f>
        <v>545533435.68999994</v>
      </c>
      <c r="E7" s="16">
        <f>E9+E452</f>
        <v>204525413.61000001</v>
      </c>
      <c r="F7" s="26">
        <f>D7-E7</f>
        <v>341008022.07999992</v>
      </c>
      <c r="G7" s="27"/>
      <c r="H7" s="24"/>
    </row>
    <row r="8" spans="1:13" ht="12" customHeight="1" x14ac:dyDescent="0.25">
      <c r="A8" s="17" t="s">
        <v>31</v>
      </c>
      <c r="B8" s="28"/>
      <c r="C8" s="18"/>
      <c r="D8" s="29"/>
      <c r="E8" s="29"/>
      <c r="F8" s="30"/>
      <c r="G8" s="27"/>
      <c r="H8" s="24"/>
    </row>
    <row r="9" spans="1:13" ht="15" customHeight="1" x14ac:dyDescent="0.25">
      <c r="A9" s="31" t="s">
        <v>828</v>
      </c>
      <c r="B9" s="32" t="s">
        <v>134</v>
      </c>
      <c r="C9" s="33" t="s">
        <v>55</v>
      </c>
      <c r="D9" s="34">
        <f>D10+D92+D114+D243+D404+D420+D444</f>
        <v>525487594.25999999</v>
      </c>
      <c r="E9" s="34">
        <f>E10+E92+E114+E243+E404+E420+E444</f>
        <v>193334359.21000001</v>
      </c>
      <c r="F9" s="35">
        <f>D9-E9</f>
        <v>332153235.04999995</v>
      </c>
      <c r="G9" s="36"/>
      <c r="H9" s="37"/>
    </row>
    <row r="10" spans="1:13" ht="15" customHeight="1" x14ac:dyDescent="0.25">
      <c r="A10" s="38" t="s">
        <v>513</v>
      </c>
      <c r="B10" s="32" t="s">
        <v>134</v>
      </c>
      <c r="C10" s="33" t="s">
        <v>135</v>
      </c>
      <c r="D10" s="34">
        <f>D11+D24+D31+D68+D74</f>
        <v>42201612.259999998</v>
      </c>
      <c r="E10" s="34">
        <f>E11+E24+E31+E68+E74</f>
        <v>24450126.930000003</v>
      </c>
      <c r="F10" s="35">
        <f>D10-E10</f>
        <v>17751485.329999994</v>
      </c>
      <c r="G10" s="36"/>
      <c r="H10" s="37"/>
    </row>
    <row r="11" spans="1:13" ht="27" customHeight="1" x14ac:dyDescent="0.25">
      <c r="A11" s="38" t="s">
        <v>514</v>
      </c>
      <c r="B11" s="32" t="s">
        <v>134</v>
      </c>
      <c r="C11" s="43" t="s">
        <v>136</v>
      </c>
      <c r="D11" s="34">
        <f>D12</f>
        <v>2471972.37</v>
      </c>
      <c r="E11" s="34">
        <f>E12</f>
        <v>1391556.56</v>
      </c>
      <c r="F11" s="35">
        <f t="shared" ref="F11:F74" si="0">D11-E11</f>
        <v>1080415.81</v>
      </c>
      <c r="G11" s="36"/>
      <c r="H11" s="37"/>
    </row>
    <row r="12" spans="1:13" ht="27" customHeight="1" x14ac:dyDescent="0.25">
      <c r="A12" s="38" t="s">
        <v>382</v>
      </c>
      <c r="B12" s="32" t="s">
        <v>134</v>
      </c>
      <c r="C12" s="43" t="s">
        <v>381</v>
      </c>
      <c r="D12" s="34">
        <f t="shared" ref="D12:E13" si="1">D13</f>
        <v>2471972.37</v>
      </c>
      <c r="E12" s="34">
        <f t="shared" si="1"/>
        <v>1391556.56</v>
      </c>
      <c r="F12" s="35">
        <f t="shared" si="0"/>
        <v>1080415.81</v>
      </c>
      <c r="G12" s="36"/>
      <c r="H12" s="37"/>
    </row>
    <row r="13" spans="1:13" ht="38.25" customHeight="1" x14ac:dyDescent="0.25">
      <c r="A13" s="38" t="s">
        <v>380</v>
      </c>
      <c r="B13" s="32" t="s">
        <v>134</v>
      </c>
      <c r="C13" s="43" t="s">
        <v>378</v>
      </c>
      <c r="D13" s="34">
        <f t="shared" si="1"/>
        <v>2471972.37</v>
      </c>
      <c r="E13" s="34">
        <f t="shared" si="1"/>
        <v>1391556.56</v>
      </c>
      <c r="F13" s="35">
        <f t="shared" si="0"/>
        <v>1080415.81</v>
      </c>
      <c r="G13" s="36"/>
      <c r="H13" s="52"/>
      <c r="I13" s="53"/>
      <c r="J13" s="53"/>
      <c r="K13" s="53"/>
      <c r="L13" s="53"/>
      <c r="M13" s="51"/>
    </row>
    <row r="14" spans="1:13" ht="27" customHeight="1" x14ac:dyDescent="0.25">
      <c r="A14" s="38" t="s">
        <v>383</v>
      </c>
      <c r="B14" s="32" t="s">
        <v>134</v>
      </c>
      <c r="C14" s="43" t="s">
        <v>379</v>
      </c>
      <c r="D14" s="34">
        <f>D15+D19</f>
        <v>2471972.37</v>
      </c>
      <c r="E14" s="34">
        <f>E15+E19</f>
        <v>1391556.56</v>
      </c>
      <c r="F14" s="35">
        <f t="shared" si="0"/>
        <v>1080415.81</v>
      </c>
      <c r="G14" s="36"/>
      <c r="H14" s="52"/>
      <c r="I14" s="54"/>
      <c r="J14" s="54"/>
      <c r="K14" s="54"/>
      <c r="L14" s="54"/>
      <c r="M14" s="51"/>
    </row>
    <row r="15" spans="1:13" ht="27.75" customHeight="1" x14ac:dyDescent="0.25">
      <c r="A15" s="38" t="s">
        <v>374</v>
      </c>
      <c r="B15" s="32" t="s">
        <v>134</v>
      </c>
      <c r="C15" s="43" t="s">
        <v>137</v>
      </c>
      <c r="D15" s="34">
        <f>D16</f>
        <v>1706584</v>
      </c>
      <c r="E15" s="34">
        <f>E16</f>
        <v>1099831.49</v>
      </c>
      <c r="F15" s="35">
        <f t="shared" si="0"/>
        <v>606752.51</v>
      </c>
      <c r="G15" s="36"/>
      <c r="H15" s="52"/>
      <c r="I15" s="54"/>
      <c r="J15" s="54"/>
      <c r="K15" s="54"/>
      <c r="L15" s="54"/>
      <c r="M15" s="51"/>
    </row>
    <row r="16" spans="1:13" ht="49.5" customHeight="1" x14ac:dyDescent="0.25">
      <c r="A16" s="38" t="s">
        <v>515</v>
      </c>
      <c r="B16" s="32" t="s">
        <v>134</v>
      </c>
      <c r="C16" s="43" t="s">
        <v>138</v>
      </c>
      <c r="D16" s="34">
        <f t="shared" ref="D16:E17" si="2">D17</f>
        <v>1706584</v>
      </c>
      <c r="E16" s="34">
        <f t="shared" si="2"/>
        <v>1099831.49</v>
      </c>
      <c r="F16" s="35">
        <f t="shared" si="0"/>
        <v>606752.51</v>
      </c>
      <c r="G16" s="36"/>
      <c r="H16" s="52"/>
      <c r="I16" s="54"/>
      <c r="J16" s="54"/>
      <c r="K16" s="54"/>
      <c r="L16" s="54"/>
      <c r="M16" s="51"/>
    </row>
    <row r="17" spans="1:13" ht="27" customHeight="1" x14ac:dyDescent="0.25">
      <c r="A17" s="38" t="s">
        <v>516</v>
      </c>
      <c r="B17" s="32" t="s">
        <v>134</v>
      </c>
      <c r="C17" s="43" t="s">
        <v>139</v>
      </c>
      <c r="D17" s="34">
        <f t="shared" si="2"/>
        <v>1706584</v>
      </c>
      <c r="E17" s="34">
        <f t="shared" si="2"/>
        <v>1099831.49</v>
      </c>
      <c r="F17" s="35">
        <f t="shared" si="0"/>
        <v>606752.51</v>
      </c>
      <c r="G17" s="36"/>
      <c r="H17" s="52"/>
      <c r="I17" s="53"/>
      <c r="J17" s="53"/>
      <c r="K17" s="53"/>
      <c r="L17" s="53"/>
      <c r="M17" s="51"/>
    </row>
    <row r="18" spans="1:13" ht="19.5" customHeight="1" x14ac:dyDescent="0.25">
      <c r="A18" s="38" t="s">
        <v>517</v>
      </c>
      <c r="B18" s="32" t="s">
        <v>134</v>
      </c>
      <c r="C18" s="43" t="s">
        <v>140</v>
      </c>
      <c r="D18" s="34">
        <f>1706584</f>
        <v>1706584</v>
      </c>
      <c r="E18" s="34">
        <v>1099831.49</v>
      </c>
      <c r="F18" s="35">
        <f t="shared" si="0"/>
        <v>606752.51</v>
      </c>
      <c r="G18" s="36"/>
      <c r="H18" s="55"/>
      <c r="I18" s="56"/>
      <c r="J18" s="56"/>
      <c r="K18" s="56"/>
      <c r="L18" s="56"/>
      <c r="M18" s="51"/>
    </row>
    <row r="19" spans="1:13" ht="22.5" customHeight="1" x14ac:dyDescent="0.25">
      <c r="A19" s="38" t="s">
        <v>518</v>
      </c>
      <c r="B19" s="32" t="s">
        <v>134</v>
      </c>
      <c r="C19" s="43" t="s">
        <v>141</v>
      </c>
      <c r="D19" s="34">
        <f>D20</f>
        <v>765388.37</v>
      </c>
      <c r="E19" s="34">
        <f>E20</f>
        <v>291725.07</v>
      </c>
      <c r="F19" s="35">
        <f t="shared" si="0"/>
        <v>473663.3</v>
      </c>
      <c r="G19" s="36"/>
      <c r="H19" s="37"/>
    </row>
    <row r="20" spans="1:13" ht="54" customHeight="1" x14ac:dyDescent="0.25">
      <c r="A20" s="38" t="s">
        <v>515</v>
      </c>
      <c r="B20" s="32" t="s">
        <v>134</v>
      </c>
      <c r="C20" s="43" t="s">
        <v>142</v>
      </c>
      <c r="D20" s="34">
        <f>D21</f>
        <v>765388.37</v>
      </c>
      <c r="E20" s="34">
        <f>E21</f>
        <v>291725.07</v>
      </c>
      <c r="F20" s="35">
        <f t="shared" si="0"/>
        <v>473663.3</v>
      </c>
      <c r="G20" s="36"/>
      <c r="H20" s="37"/>
    </row>
    <row r="21" spans="1:13" ht="27" customHeight="1" x14ac:dyDescent="0.25">
      <c r="A21" s="38" t="s">
        <v>516</v>
      </c>
      <c r="B21" s="32" t="s">
        <v>134</v>
      </c>
      <c r="C21" s="43" t="s">
        <v>143</v>
      </c>
      <c r="D21" s="34">
        <f>D22+D23</f>
        <v>765388.37</v>
      </c>
      <c r="E21" s="34">
        <f>E22+E23</f>
        <v>291725.07</v>
      </c>
      <c r="F21" s="35">
        <f t="shared" si="0"/>
        <v>473663.3</v>
      </c>
      <c r="G21" s="36"/>
      <c r="H21" s="37"/>
    </row>
    <row r="22" spans="1:13" ht="40.5" customHeight="1" x14ac:dyDescent="0.25">
      <c r="A22" s="38" t="s">
        <v>519</v>
      </c>
      <c r="B22" s="32" t="s">
        <v>134</v>
      </c>
      <c r="C22" s="43" t="s">
        <v>144</v>
      </c>
      <c r="D22" s="34">
        <f>250000</f>
        <v>250000</v>
      </c>
      <c r="E22" s="34">
        <v>8500</v>
      </c>
      <c r="F22" s="35">
        <f t="shared" si="0"/>
        <v>241500</v>
      </c>
      <c r="G22" s="36"/>
      <c r="H22" s="37"/>
    </row>
    <row r="23" spans="1:13" ht="40.5" customHeight="1" x14ac:dyDescent="0.25">
      <c r="A23" s="39" t="s">
        <v>520</v>
      </c>
      <c r="B23" s="32" t="s">
        <v>134</v>
      </c>
      <c r="C23" s="43" t="s">
        <v>145</v>
      </c>
      <c r="D23" s="34">
        <f>515388.37</f>
        <v>515388.37</v>
      </c>
      <c r="E23" s="34">
        <v>283225.07</v>
      </c>
      <c r="F23" s="35">
        <f t="shared" si="0"/>
        <v>232163.3</v>
      </c>
      <c r="G23" s="36"/>
      <c r="H23" s="37"/>
    </row>
    <row r="24" spans="1:13" ht="40.5" customHeight="1" x14ac:dyDescent="0.25">
      <c r="A24" s="38" t="s">
        <v>521</v>
      </c>
      <c r="B24" s="32" t="s">
        <v>134</v>
      </c>
      <c r="C24" s="43" t="s">
        <v>146</v>
      </c>
      <c r="D24" s="34">
        <f t="shared" ref="D24:E29" si="3">D25</f>
        <v>130000</v>
      </c>
      <c r="E24" s="34">
        <f t="shared" si="3"/>
        <v>0</v>
      </c>
      <c r="F24" s="35">
        <f t="shared" si="0"/>
        <v>130000</v>
      </c>
      <c r="G24" s="36"/>
      <c r="H24" s="37"/>
    </row>
    <row r="25" spans="1:13" ht="15" customHeight="1" x14ac:dyDescent="0.25">
      <c r="A25" s="38" t="s">
        <v>375</v>
      </c>
      <c r="B25" s="32" t="s">
        <v>134</v>
      </c>
      <c r="C25" s="43" t="s">
        <v>147</v>
      </c>
      <c r="D25" s="34">
        <f t="shared" si="3"/>
        <v>130000</v>
      </c>
      <c r="E25" s="34">
        <f t="shared" si="3"/>
        <v>0</v>
      </c>
      <c r="F25" s="35">
        <f t="shared" si="0"/>
        <v>130000</v>
      </c>
      <c r="G25" s="36"/>
      <c r="H25" s="37"/>
    </row>
    <row r="26" spans="1:13" ht="24" customHeight="1" x14ac:dyDescent="0.25">
      <c r="A26" s="38" t="s">
        <v>384</v>
      </c>
      <c r="B26" s="32" t="s">
        <v>134</v>
      </c>
      <c r="C26" s="43" t="s">
        <v>148</v>
      </c>
      <c r="D26" s="34">
        <f>D27</f>
        <v>130000</v>
      </c>
      <c r="E26" s="34">
        <f>E27</f>
        <v>0</v>
      </c>
      <c r="F26" s="35">
        <f t="shared" si="0"/>
        <v>130000</v>
      </c>
      <c r="G26" s="36"/>
      <c r="H26" s="37"/>
    </row>
    <row r="27" spans="1:13" ht="28.5" customHeight="1" x14ac:dyDescent="0.25">
      <c r="A27" s="38" t="s">
        <v>518</v>
      </c>
      <c r="B27" s="32" t="s">
        <v>134</v>
      </c>
      <c r="C27" s="43" t="s">
        <v>149</v>
      </c>
      <c r="D27" s="34">
        <f>D28</f>
        <v>130000</v>
      </c>
      <c r="E27" s="34">
        <f>E28</f>
        <v>0</v>
      </c>
      <c r="F27" s="34">
        <f t="shared" si="0"/>
        <v>130000</v>
      </c>
      <c r="G27" s="36"/>
      <c r="H27" s="37"/>
    </row>
    <row r="28" spans="1:13" ht="28.5" customHeight="1" x14ac:dyDescent="0.25">
      <c r="A28" s="38" t="s">
        <v>522</v>
      </c>
      <c r="B28" s="32" t="s">
        <v>134</v>
      </c>
      <c r="C28" s="43" t="s">
        <v>385</v>
      </c>
      <c r="D28" s="34">
        <f t="shared" si="3"/>
        <v>130000</v>
      </c>
      <c r="E28" s="34">
        <f t="shared" si="3"/>
        <v>0</v>
      </c>
      <c r="F28" s="34">
        <f t="shared" si="0"/>
        <v>130000</v>
      </c>
      <c r="G28" s="36"/>
      <c r="H28" s="37"/>
    </row>
    <row r="29" spans="1:13" ht="28.5" customHeight="1" x14ac:dyDescent="0.25">
      <c r="A29" s="38" t="s">
        <v>523</v>
      </c>
      <c r="B29" s="32" t="s">
        <v>134</v>
      </c>
      <c r="C29" s="43" t="s">
        <v>386</v>
      </c>
      <c r="D29" s="34">
        <f t="shared" si="3"/>
        <v>130000</v>
      </c>
      <c r="E29" s="34">
        <f t="shared" si="3"/>
        <v>0</v>
      </c>
      <c r="F29" s="34">
        <f t="shared" si="0"/>
        <v>130000</v>
      </c>
      <c r="G29" s="36"/>
      <c r="H29" s="37"/>
    </row>
    <row r="30" spans="1:13" ht="28.5" customHeight="1" x14ac:dyDescent="0.25">
      <c r="A30" s="38" t="s">
        <v>524</v>
      </c>
      <c r="B30" s="32" t="s">
        <v>134</v>
      </c>
      <c r="C30" s="43" t="s">
        <v>387</v>
      </c>
      <c r="D30" s="34">
        <f>130000</f>
        <v>130000</v>
      </c>
      <c r="E30" s="34">
        <v>0</v>
      </c>
      <c r="F30" s="34">
        <f t="shared" si="0"/>
        <v>130000</v>
      </c>
      <c r="G30" s="36"/>
      <c r="H30" s="37"/>
    </row>
    <row r="31" spans="1:13" ht="37.5" customHeight="1" x14ac:dyDescent="0.25">
      <c r="A31" s="38" t="s">
        <v>525</v>
      </c>
      <c r="B31" s="32" t="s">
        <v>134</v>
      </c>
      <c r="C31" s="43" t="s">
        <v>150</v>
      </c>
      <c r="D31" s="34">
        <f>D32</f>
        <v>39270445.439999998</v>
      </c>
      <c r="E31" s="34">
        <f>E32</f>
        <v>22941241.250000004</v>
      </c>
      <c r="F31" s="35">
        <f t="shared" si="0"/>
        <v>16329204.189999994</v>
      </c>
      <c r="G31" s="36"/>
      <c r="H31" s="37"/>
    </row>
    <row r="32" spans="1:13" ht="27" customHeight="1" x14ac:dyDescent="0.25">
      <c r="A32" s="40" t="s">
        <v>382</v>
      </c>
      <c r="B32" s="32" t="s">
        <v>134</v>
      </c>
      <c r="C32" s="43" t="s">
        <v>388</v>
      </c>
      <c r="D32" s="34">
        <f>D33+D47+D58</f>
        <v>39270445.439999998</v>
      </c>
      <c r="E32" s="34">
        <f>E33+E47+E58</f>
        <v>22941241.250000004</v>
      </c>
      <c r="F32" s="35">
        <f t="shared" si="0"/>
        <v>16329204.189999994</v>
      </c>
      <c r="G32" s="36"/>
      <c r="H32" s="37"/>
    </row>
    <row r="33" spans="1:8" ht="34.5" customHeight="1" x14ac:dyDescent="0.25">
      <c r="A33" s="38" t="s">
        <v>380</v>
      </c>
      <c r="B33" s="32" t="s">
        <v>134</v>
      </c>
      <c r="C33" s="43" t="s">
        <v>389</v>
      </c>
      <c r="D33" s="34">
        <f>D34</f>
        <v>32429787.440000001</v>
      </c>
      <c r="E33" s="34">
        <f>E34</f>
        <v>19988328.880000003</v>
      </c>
      <c r="F33" s="35">
        <f t="shared" si="0"/>
        <v>12441458.559999999</v>
      </c>
      <c r="G33" s="36"/>
      <c r="H33" s="37"/>
    </row>
    <row r="34" spans="1:8" ht="27" customHeight="1" x14ac:dyDescent="0.25">
      <c r="A34" s="38" t="s">
        <v>391</v>
      </c>
      <c r="B34" s="32" t="s">
        <v>134</v>
      </c>
      <c r="C34" s="43" t="s">
        <v>390</v>
      </c>
      <c r="D34" s="34">
        <f>D35</f>
        <v>32429787.440000001</v>
      </c>
      <c r="E34" s="34">
        <f>E35</f>
        <v>19988328.880000003</v>
      </c>
      <c r="F34" s="35">
        <f t="shared" si="0"/>
        <v>12441458.559999999</v>
      </c>
      <c r="G34" s="36"/>
      <c r="H34" s="37"/>
    </row>
    <row r="35" spans="1:8" ht="24" customHeight="1" x14ac:dyDescent="0.25">
      <c r="A35" s="38" t="s">
        <v>374</v>
      </c>
      <c r="B35" s="32" t="s">
        <v>134</v>
      </c>
      <c r="C35" s="43" t="s">
        <v>151</v>
      </c>
      <c r="D35" s="34">
        <f>D36+D39</f>
        <v>32429787.440000001</v>
      </c>
      <c r="E35" s="34">
        <f>E36+E39</f>
        <v>19988328.880000003</v>
      </c>
      <c r="F35" s="35">
        <f t="shared" si="0"/>
        <v>12441458.559999999</v>
      </c>
      <c r="G35" s="36"/>
      <c r="H35" s="37"/>
    </row>
    <row r="36" spans="1:8" ht="47.25" customHeight="1" x14ac:dyDescent="0.25">
      <c r="A36" s="38" t="s">
        <v>515</v>
      </c>
      <c r="B36" s="32" t="s">
        <v>134</v>
      </c>
      <c r="C36" s="43" t="s">
        <v>152</v>
      </c>
      <c r="D36" s="34">
        <f t="shared" ref="D36:E37" si="4">D37</f>
        <v>21304965.670000002</v>
      </c>
      <c r="E36" s="34">
        <f t="shared" si="4"/>
        <v>13378935.17</v>
      </c>
      <c r="F36" s="35">
        <f t="shared" si="0"/>
        <v>7926030.5000000019</v>
      </c>
      <c r="G36" s="36"/>
      <c r="H36" s="37"/>
    </row>
    <row r="37" spans="1:8" ht="21.75" customHeight="1" x14ac:dyDescent="0.25">
      <c r="A37" s="38" t="s">
        <v>516</v>
      </c>
      <c r="B37" s="32" t="s">
        <v>134</v>
      </c>
      <c r="C37" s="43" t="s">
        <v>153</v>
      </c>
      <c r="D37" s="34">
        <f t="shared" si="4"/>
        <v>21304965.670000002</v>
      </c>
      <c r="E37" s="34">
        <f t="shared" si="4"/>
        <v>13378935.17</v>
      </c>
      <c r="F37" s="35">
        <f t="shared" si="0"/>
        <v>7926030.5000000019</v>
      </c>
      <c r="G37" s="36"/>
      <c r="H37" s="37"/>
    </row>
    <row r="38" spans="1:8" ht="25.5" customHeight="1" x14ac:dyDescent="0.25">
      <c r="A38" s="38" t="s">
        <v>517</v>
      </c>
      <c r="B38" s="32" t="s">
        <v>134</v>
      </c>
      <c r="C38" s="43" t="s">
        <v>154</v>
      </c>
      <c r="D38" s="34">
        <f>21734930-429964.33</f>
        <v>21304965.670000002</v>
      </c>
      <c r="E38" s="34">
        <v>13378935.17</v>
      </c>
      <c r="F38" s="35">
        <f t="shared" si="0"/>
        <v>7926030.5000000019</v>
      </c>
      <c r="G38" s="36"/>
      <c r="H38" s="37"/>
    </row>
    <row r="39" spans="1:8" ht="24" customHeight="1" x14ac:dyDescent="0.25">
      <c r="A39" s="38" t="s">
        <v>518</v>
      </c>
      <c r="B39" s="32" t="s">
        <v>134</v>
      </c>
      <c r="C39" s="43" t="s">
        <v>155</v>
      </c>
      <c r="D39" s="34">
        <f>D40+D44</f>
        <v>11124821.77</v>
      </c>
      <c r="E39" s="34">
        <f>E40+E44</f>
        <v>6609393.7100000009</v>
      </c>
      <c r="F39" s="35">
        <f t="shared" si="0"/>
        <v>4515428.0599999987</v>
      </c>
      <c r="G39" s="36"/>
      <c r="H39" s="37"/>
    </row>
    <row r="40" spans="1:8" ht="51" customHeight="1" x14ac:dyDescent="0.25">
      <c r="A40" s="38" t="s">
        <v>515</v>
      </c>
      <c r="B40" s="32" t="s">
        <v>134</v>
      </c>
      <c r="C40" s="43" t="s">
        <v>156</v>
      </c>
      <c r="D40" s="34">
        <f>D41</f>
        <v>8152899.7699999996</v>
      </c>
      <c r="E40" s="34">
        <f>E41</f>
        <v>4772975.7700000005</v>
      </c>
      <c r="F40" s="35">
        <f t="shared" si="0"/>
        <v>3379923.9999999991</v>
      </c>
      <c r="G40" s="36"/>
      <c r="H40" s="37"/>
    </row>
    <row r="41" spans="1:8" ht="24.75" customHeight="1" x14ac:dyDescent="0.25">
      <c r="A41" s="38" t="s">
        <v>516</v>
      </c>
      <c r="B41" s="32" t="s">
        <v>134</v>
      </c>
      <c r="C41" s="43" t="s">
        <v>157</v>
      </c>
      <c r="D41" s="34">
        <f>D42+D43</f>
        <v>8152899.7699999996</v>
      </c>
      <c r="E41" s="34">
        <f>E42+E43</f>
        <v>4772975.7700000005</v>
      </c>
      <c r="F41" s="35">
        <f t="shared" si="0"/>
        <v>3379923.9999999991</v>
      </c>
      <c r="G41" s="36"/>
      <c r="H41" s="37"/>
    </row>
    <row r="42" spans="1:8" ht="34.5" customHeight="1" x14ac:dyDescent="0.25">
      <c r="A42" s="38" t="s">
        <v>519</v>
      </c>
      <c r="B42" s="32" t="s">
        <v>134</v>
      </c>
      <c r="C42" s="43" t="s">
        <v>158</v>
      </c>
      <c r="D42" s="34">
        <f>1718800</f>
        <v>1718800</v>
      </c>
      <c r="E42" s="34">
        <v>948533.8</v>
      </c>
      <c r="F42" s="35">
        <f t="shared" si="0"/>
        <v>770266.2</v>
      </c>
      <c r="G42" s="36"/>
      <c r="H42" s="37"/>
    </row>
    <row r="43" spans="1:8" ht="40.5" customHeight="1" x14ac:dyDescent="0.25">
      <c r="A43" s="39" t="s">
        <v>526</v>
      </c>
      <c r="B43" s="32" t="s">
        <v>134</v>
      </c>
      <c r="C43" s="43" t="s">
        <v>159</v>
      </c>
      <c r="D43" s="34">
        <f>6563949-129849.23</f>
        <v>6434099.7699999996</v>
      </c>
      <c r="E43" s="34">
        <v>3824441.97</v>
      </c>
      <c r="F43" s="35">
        <f t="shared" si="0"/>
        <v>2609657.7999999993</v>
      </c>
      <c r="G43" s="36"/>
      <c r="H43" s="37"/>
    </row>
    <row r="44" spans="1:8" ht="27" customHeight="1" x14ac:dyDescent="0.25">
      <c r="A44" s="38" t="s">
        <v>522</v>
      </c>
      <c r="B44" s="32" t="s">
        <v>134</v>
      </c>
      <c r="C44" s="43" t="s">
        <v>160</v>
      </c>
      <c r="D44" s="34">
        <f>D45</f>
        <v>2971922</v>
      </c>
      <c r="E44" s="34">
        <f>E45</f>
        <v>1836417.94</v>
      </c>
      <c r="F44" s="35">
        <f t="shared" si="0"/>
        <v>1135504.06</v>
      </c>
      <c r="G44" s="36"/>
      <c r="H44" s="37"/>
    </row>
    <row r="45" spans="1:8" ht="27" customHeight="1" x14ac:dyDescent="0.25">
      <c r="A45" s="38" t="s">
        <v>523</v>
      </c>
      <c r="B45" s="32" t="s">
        <v>134</v>
      </c>
      <c r="C45" s="43" t="s">
        <v>161</v>
      </c>
      <c r="D45" s="34">
        <f>D46</f>
        <v>2971922</v>
      </c>
      <c r="E45" s="34">
        <f>E46</f>
        <v>1836417.94</v>
      </c>
      <c r="F45" s="35">
        <f t="shared" si="0"/>
        <v>1135504.06</v>
      </c>
      <c r="G45" s="36"/>
      <c r="H45" s="37"/>
    </row>
    <row r="46" spans="1:8" ht="27" customHeight="1" x14ac:dyDescent="0.25">
      <c r="A46" s="38" t="s">
        <v>524</v>
      </c>
      <c r="B46" s="32" t="s">
        <v>134</v>
      </c>
      <c r="C46" s="43" t="s">
        <v>162</v>
      </c>
      <c r="D46" s="34">
        <f>2971922</f>
        <v>2971922</v>
      </c>
      <c r="E46" s="34">
        <v>1836417.94</v>
      </c>
      <c r="F46" s="35">
        <f t="shared" si="0"/>
        <v>1135504.06</v>
      </c>
      <c r="G46" s="36"/>
      <c r="H46" s="37"/>
    </row>
    <row r="47" spans="1:8" ht="27" customHeight="1" x14ac:dyDescent="0.25">
      <c r="A47" s="38" t="s">
        <v>392</v>
      </c>
      <c r="B47" s="32" t="s">
        <v>134</v>
      </c>
      <c r="C47" s="43" t="s">
        <v>394</v>
      </c>
      <c r="D47" s="34">
        <f>D48+D56</f>
        <v>4772353</v>
      </c>
      <c r="E47" s="34">
        <f>E48+E56</f>
        <v>2837325.42</v>
      </c>
      <c r="F47" s="35">
        <f t="shared" si="0"/>
        <v>1935027.58</v>
      </c>
      <c r="G47" s="36"/>
      <c r="H47" s="37"/>
    </row>
    <row r="48" spans="1:8" ht="48" customHeight="1" x14ac:dyDescent="0.25">
      <c r="A48" s="38" t="s">
        <v>393</v>
      </c>
      <c r="B48" s="32" t="s">
        <v>134</v>
      </c>
      <c r="C48" s="43" t="s">
        <v>395</v>
      </c>
      <c r="D48" s="34">
        <f t="shared" ref="D48:E51" si="5">D49</f>
        <v>2011000</v>
      </c>
      <c r="E48" s="34">
        <f t="shared" si="5"/>
        <v>562303.72</v>
      </c>
      <c r="F48" s="35">
        <f t="shared" si="0"/>
        <v>1448696.28</v>
      </c>
      <c r="G48" s="36"/>
      <c r="H48" s="37"/>
    </row>
    <row r="49" spans="1:8" ht="45.75" customHeight="1" x14ac:dyDescent="0.25">
      <c r="A49" s="38" t="s">
        <v>527</v>
      </c>
      <c r="B49" s="32" t="s">
        <v>134</v>
      </c>
      <c r="C49" s="43" t="s">
        <v>163</v>
      </c>
      <c r="D49" s="34">
        <f t="shared" si="5"/>
        <v>2011000</v>
      </c>
      <c r="E49" s="34">
        <f t="shared" si="5"/>
        <v>562303.72</v>
      </c>
      <c r="F49" s="35">
        <f t="shared" si="0"/>
        <v>1448696.28</v>
      </c>
      <c r="G49" s="36"/>
      <c r="H49" s="37"/>
    </row>
    <row r="50" spans="1:8" ht="27" customHeight="1" x14ac:dyDescent="0.25">
      <c r="A50" s="38" t="s">
        <v>522</v>
      </c>
      <c r="B50" s="32" t="s">
        <v>134</v>
      </c>
      <c r="C50" s="43" t="s">
        <v>164</v>
      </c>
      <c r="D50" s="34">
        <f t="shared" si="5"/>
        <v>2011000</v>
      </c>
      <c r="E50" s="34">
        <f t="shared" si="5"/>
        <v>562303.72</v>
      </c>
      <c r="F50" s="35">
        <f t="shared" si="0"/>
        <v>1448696.28</v>
      </c>
      <c r="G50" s="36"/>
      <c r="H50" s="37"/>
    </row>
    <row r="51" spans="1:8" ht="27" customHeight="1" x14ac:dyDescent="0.25">
      <c r="A51" s="38" t="s">
        <v>523</v>
      </c>
      <c r="B51" s="32" t="s">
        <v>134</v>
      </c>
      <c r="C51" s="43" t="s">
        <v>165</v>
      </c>
      <c r="D51" s="34">
        <f t="shared" si="5"/>
        <v>2011000</v>
      </c>
      <c r="E51" s="34">
        <f t="shared" si="5"/>
        <v>562303.72</v>
      </c>
      <c r="F51" s="35">
        <f t="shared" si="0"/>
        <v>1448696.28</v>
      </c>
      <c r="G51" s="36"/>
      <c r="H51" s="37"/>
    </row>
    <row r="52" spans="1:8" ht="27" customHeight="1" x14ac:dyDescent="0.25">
      <c r="A52" s="38" t="s">
        <v>524</v>
      </c>
      <c r="B52" s="32" t="s">
        <v>134</v>
      </c>
      <c r="C52" s="43" t="s">
        <v>166</v>
      </c>
      <c r="D52" s="34">
        <f>2011000</f>
        <v>2011000</v>
      </c>
      <c r="E52" s="34">
        <v>562303.72</v>
      </c>
      <c r="F52" s="35">
        <f t="shared" si="0"/>
        <v>1448696.28</v>
      </c>
      <c r="G52" s="36"/>
      <c r="H52" s="37"/>
    </row>
    <row r="53" spans="1:8" ht="59.25" customHeight="1" x14ac:dyDescent="0.25">
      <c r="A53" s="38" t="s">
        <v>396</v>
      </c>
      <c r="B53" s="32" t="s">
        <v>134</v>
      </c>
      <c r="C53" s="43" t="s">
        <v>397</v>
      </c>
      <c r="D53" s="34">
        <f t="shared" ref="D53:E56" si="6">D54</f>
        <v>2761353</v>
      </c>
      <c r="E53" s="34">
        <f t="shared" si="6"/>
        <v>2275021.7000000002</v>
      </c>
      <c r="F53" s="35">
        <f t="shared" si="0"/>
        <v>486331.29999999981</v>
      </c>
      <c r="G53" s="36"/>
      <c r="H53" s="37"/>
    </row>
    <row r="54" spans="1:8" ht="49.5" customHeight="1" x14ac:dyDescent="0.25">
      <c r="A54" s="38" t="s">
        <v>527</v>
      </c>
      <c r="B54" s="32" t="s">
        <v>134</v>
      </c>
      <c r="C54" s="43" t="s">
        <v>167</v>
      </c>
      <c r="D54" s="34">
        <f t="shared" si="6"/>
        <v>2761353</v>
      </c>
      <c r="E54" s="34">
        <f t="shared" si="6"/>
        <v>2275021.7000000002</v>
      </c>
      <c r="F54" s="35">
        <f t="shared" si="0"/>
        <v>486331.29999999981</v>
      </c>
      <c r="G54" s="36"/>
      <c r="H54" s="37"/>
    </row>
    <row r="55" spans="1:8" ht="27" customHeight="1" x14ac:dyDescent="0.25">
      <c r="A55" s="38" t="s">
        <v>522</v>
      </c>
      <c r="B55" s="32" t="s">
        <v>134</v>
      </c>
      <c r="C55" s="43" t="s">
        <v>168</v>
      </c>
      <c r="D55" s="34">
        <f t="shared" si="6"/>
        <v>2761353</v>
      </c>
      <c r="E55" s="34">
        <f t="shared" si="6"/>
        <v>2275021.7000000002</v>
      </c>
      <c r="F55" s="35">
        <f t="shared" si="0"/>
        <v>486331.29999999981</v>
      </c>
      <c r="G55" s="36"/>
      <c r="H55" s="37"/>
    </row>
    <row r="56" spans="1:8" ht="27" customHeight="1" x14ac:dyDescent="0.25">
      <c r="A56" s="38" t="s">
        <v>523</v>
      </c>
      <c r="B56" s="32" t="s">
        <v>134</v>
      </c>
      <c r="C56" s="43" t="s">
        <v>169</v>
      </c>
      <c r="D56" s="34">
        <f t="shared" si="6"/>
        <v>2761353</v>
      </c>
      <c r="E56" s="34">
        <f t="shared" si="6"/>
        <v>2275021.7000000002</v>
      </c>
      <c r="F56" s="35">
        <f t="shared" si="0"/>
        <v>486331.29999999981</v>
      </c>
      <c r="G56" s="36"/>
      <c r="H56" s="37"/>
    </row>
    <row r="57" spans="1:8" ht="27" customHeight="1" x14ac:dyDescent="0.25">
      <c r="A57" s="38" t="s">
        <v>528</v>
      </c>
      <c r="B57" s="32" t="s">
        <v>134</v>
      </c>
      <c r="C57" s="43" t="s">
        <v>170</v>
      </c>
      <c r="D57" s="34">
        <f>2761353</f>
        <v>2761353</v>
      </c>
      <c r="E57" s="34">
        <v>2275021.7000000002</v>
      </c>
      <c r="F57" s="35">
        <f t="shared" si="0"/>
        <v>486331.29999999981</v>
      </c>
      <c r="G57" s="36"/>
      <c r="H57" s="37"/>
    </row>
    <row r="58" spans="1:8" ht="27" customHeight="1" x14ac:dyDescent="0.25">
      <c r="A58" s="38" t="s">
        <v>398</v>
      </c>
      <c r="B58" s="32" t="s">
        <v>134</v>
      </c>
      <c r="C58" s="43" t="s">
        <v>400</v>
      </c>
      <c r="D58" s="34">
        <f>D59</f>
        <v>2068305</v>
      </c>
      <c r="E58" s="34">
        <f>E59</f>
        <v>115586.95</v>
      </c>
      <c r="F58" s="35">
        <f t="shared" si="0"/>
        <v>1952718.05</v>
      </c>
      <c r="G58" s="36"/>
      <c r="H58" s="37"/>
    </row>
    <row r="59" spans="1:8" ht="27" customHeight="1" x14ac:dyDescent="0.25">
      <c r="A59" s="38" t="s">
        <v>399</v>
      </c>
      <c r="B59" s="32" t="s">
        <v>134</v>
      </c>
      <c r="C59" s="43" t="s">
        <v>401</v>
      </c>
      <c r="D59" s="34">
        <f>D60+D67</f>
        <v>2068305</v>
      </c>
      <c r="E59" s="34">
        <f>E60+E67</f>
        <v>115586.95</v>
      </c>
      <c r="F59" s="35">
        <f t="shared" si="0"/>
        <v>1952718.05</v>
      </c>
      <c r="G59" s="36"/>
      <c r="H59" s="37"/>
    </row>
    <row r="60" spans="1:8" ht="27" customHeight="1" x14ac:dyDescent="0.25">
      <c r="A60" s="38" t="s">
        <v>529</v>
      </c>
      <c r="B60" s="32" t="s">
        <v>134</v>
      </c>
      <c r="C60" s="43" t="s">
        <v>171</v>
      </c>
      <c r="D60" s="34">
        <f t="shared" ref="D60:E62" si="7">D61</f>
        <v>1833305</v>
      </c>
      <c r="E60" s="34">
        <f t="shared" si="7"/>
        <v>0</v>
      </c>
      <c r="F60" s="35">
        <f t="shared" si="0"/>
        <v>1833305</v>
      </c>
      <c r="G60" s="36"/>
      <c r="H60" s="37"/>
    </row>
    <row r="61" spans="1:8" ht="27" customHeight="1" x14ac:dyDescent="0.25">
      <c r="A61" s="38" t="s">
        <v>522</v>
      </c>
      <c r="B61" s="32" t="s">
        <v>134</v>
      </c>
      <c r="C61" s="43" t="s">
        <v>402</v>
      </c>
      <c r="D61" s="34">
        <f t="shared" si="7"/>
        <v>1833305</v>
      </c>
      <c r="E61" s="34">
        <f t="shared" si="7"/>
        <v>0</v>
      </c>
      <c r="F61" s="35">
        <f t="shared" si="0"/>
        <v>1833305</v>
      </c>
      <c r="G61" s="36"/>
      <c r="H61" s="37"/>
    </row>
    <row r="62" spans="1:8" ht="27" customHeight="1" x14ac:dyDescent="0.25">
      <c r="A62" s="38" t="s">
        <v>523</v>
      </c>
      <c r="B62" s="32" t="s">
        <v>134</v>
      </c>
      <c r="C62" s="43" t="s">
        <v>403</v>
      </c>
      <c r="D62" s="34">
        <f t="shared" si="7"/>
        <v>1833305</v>
      </c>
      <c r="E62" s="34">
        <f t="shared" si="7"/>
        <v>0</v>
      </c>
      <c r="F62" s="35">
        <f t="shared" si="0"/>
        <v>1833305</v>
      </c>
      <c r="G62" s="36"/>
      <c r="H62" s="37"/>
    </row>
    <row r="63" spans="1:8" ht="27" customHeight="1" x14ac:dyDescent="0.25">
      <c r="A63" s="38" t="s">
        <v>524</v>
      </c>
      <c r="B63" s="32" t="s">
        <v>134</v>
      </c>
      <c r="C63" s="43" t="s">
        <v>404</v>
      </c>
      <c r="D63" s="34">
        <f>300000+1533305</f>
        <v>1833305</v>
      </c>
      <c r="E63" s="34">
        <v>0</v>
      </c>
      <c r="F63" s="35">
        <f t="shared" si="0"/>
        <v>1833305</v>
      </c>
      <c r="G63" s="36"/>
      <c r="H63" s="37"/>
    </row>
    <row r="64" spans="1:8" ht="27" customHeight="1" x14ac:dyDescent="0.25">
      <c r="A64" s="38" t="s">
        <v>530</v>
      </c>
      <c r="B64" s="32" t="s">
        <v>134</v>
      </c>
      <c r="C64" s="43" t="s">
        <v>172</v>
      </c>
      <c r="D64" s="34">
        <f t="shared" ref="D64:E66" si="8">D65</f>
        <v>235000</v>
      </c>
      <c r="E64" s="34">
        <f t="shared" si="8"/>
        <v>115586.95</v>
      </c>
      <c r="F64" s="35">
        <f t="shared" si="0"/>
        <v>119413.05</v>
      </c>
      <c r="G64" s="36"/>
      <c r="H64" s="37"/>
    </row>
    <row r="65" spans="1:8" ht="15" customHeight="1" x14ac:dyDescent="0.25">
      <c r="A65" s="38" t="s">
        <v>531</v>
      </c>
      <c r="B65" s="32" t="s">
        <v>134</v>
      </c>
      <c r="C65" s="43" t="s">
        <v>173</v>
      </c>
      <c r="D65" s="34">
        <f t="shared" si="8"/>
        <v>235000</v>
      </c>
      <c r="E65" s="34">
        <f t="shared" si="8"/>
        <v>115586.95</v>
      </c>
      <c r="F65" s="35">
        <f t="shared" si="0"/>
        <v>119413.05</v>
      </c>
      <c r="G65" s="36"/>
      <c r="H65" s="37"/>
    </row>
    <row r="66" spans="1:8" ht="15" customHeight="1" x14ac:dyDescent="0.25">
      <c r="A66" s="38" t="s">
        <v>532</v>
      </c>
      <c r="B66" s="32" t="s">
        <v>134</v>
      </c>
      <c r="C66" s="43" t="s">
        <v>174</v>
      </c>
      <c r="D66" s="34">
        <f t="shared" si="8"/>
        <v>235000</v>
      </c>
      <c r="E66" s="34">
        <f t="shared" si="8"/>
        <v>115586.95</v>
      </c>
      <c r="F66" s="35">
        <f t="shared" si="0"/>
        <v>119413.05</v>
      </c>
      <c r="G66" s="36"/>
      <c r="H66" s="37"/>
    </row>
    <row r="67" spans="1:8" ht="15" customHeight="1" x14ac:dyDescent="0.25">
      <c r="A67" s="38" t="s">
        <v>533</v>
      </c>
      <c r="B67" s="32" t="s">
        <v>134</v>
      </c>
      <c r="C67" s="43" t="s">
        <v>175</v>
      </c>
      <c r="D67" s="34">
        <f>235000</f>
        <v>235000</v>
      </c>
      <c r="E67" s="34">
        <v>115586.95</v>
      </c>
      <c r="F67" s="35">
        <f t="shared" si="0"/>
        <v>119413.05</v>
      </c>
      <c r="G67" s="36"/>
      <c r="H67" s="37"/>
    </row>
    <row r="68" spans="1:8" ht="24.75" customHeight="1" x14ac:dyDescent="0.25">
      <c r="A68" s="38" t="s">
        <v>534</v>
      </c>
      <c r="B68" s="32" t="s">
        <v>134</v>
      </c>
      <c r="C68" s="43" t="s">
        <v>405</v>
      </c>
      <c r="D68" s="34">
        <f t="shared" ref="D68:E70" si="9">D69</f>
        <v>32494.45</v>
      </c>
      <c r="E68" s="34">
        <f t="shared" si="9"/>
        <v>0</v>
      </c>
      <c r="F68" s="35">
        <f t="shared" si="0"/>
        <v>32494.45</v>
      </c>
      <c r="G68" s="36"/>
      <c r="H68" s="37"/>
    </row>
    <row r="69" spans="1:8" ht="18" customHeight="1" x14ac:dyDescent="0.25">
      <c r="A69" s="38" t="s">
        <v>375</v>
      </c>
      <c r="B69" s="32" t="s">
        <v>134</v>
      </c>
      <c r="C69" s="43" t="s">
        <v>406</v>
      </c>
      <c r="D69" s="34">
        <f t="shared" si="9"/>
        <v>32494.45</v>
      </c>
      <c r="E69" s="34">
        <f t="shared" si="9"/>
        <v>0</v>
      </c>
      <c r="F69" s="35">
        <f t="shared" si="0"/>
        <v>32494.45</v>
      </c>
      <c r="G69" s="36"/>
      <c r="H69" s="37"/>
    </row>
    <row r="70" spans="1:8" ht="24.75" customHeight="1" x14ac:dyDescent="0.25">
      <c r="A70" s="38" t="s">
        <v>384</v>
      </c>
      <c r="B70" s="32" t="s">
        <v>134</v>
      </c>
      <c r="C70" s="43" t="s">
        <v>407</v>
      </c>
      <c r="D70" s="34">
        <f t="shared" si="9"/>
        <v>32494.45</v>
      </c>
      <c r="E70" s="34">
        <f t="shared" si="9"/>
        <v>0</v>
      </c>
      <c r="F70" s="35">
        <f t="shared" si="0"/>
        <v>32494.45</v>
      </c>
      <c r="G70" s="36"/>
      <c r="H70" s="37"/>
    </row>
    <row r="71" spans="1:8" ht="32.25" customHeight="1" x14ac:dyDescent="0.25">
      <c r="A71" s="38" t="s">
        <v>408</v>
      </c>
      <c r="B71" s="32" t="s">
        <v>134</v>
      </c>
      <c r="C71" s="43" t="s">
        <v>409</v>
      </c>
      <c r="D71" s="34">
        <f t="shared" ref="D71:E72" si="10">D72</f>
        <v>32494.45</v>
      </c>
      <c r="E71" s="34">
        <f t="shared" si="10"/>
        <v>0</v>
      </c>
      <c r="F71" s="35">
        <f t="shared" si="0"/>
        <v>32494.45</v>
      </c>
      <c r="G71" s="36"/>
      <c r="H71" s="37"/>
    </row>
    <row r="72" spans="1:8" ht="18.75" customHeight="1" x14ac:dyDescent="0.25">
      <c r="A72" s="38" t="s">
        <v>410</v>
      </c>
      <c r="B72" s="32" t="s">
        <v>134</v>
      </c>
      <c r="C72" s="43" t="s">
        <v>412</v>
      </c>
      <c r="D72" s="34">
        <f t="shared" si="10"/>
        <v>32494.45</v>
      </c>
      <c r="E72" s="34">
        <f t="shared" si="10"/>
        <v>0</v>
      </c>
      <c r="F72" s="35">
        <f t="shared" si="0"/>
        <v>32494.45</v>
      </c>
      <c r="G72" s="36"/>
      <c r="H72" s="37"/>
    </row>
    <row r="73" spans="1:8" ht="16.5" customHeight="1" x14ac:dyDescent="0.25">
      <c r="A73" s="38" t="s">
        <v>411</v>
      </c>
      <c r="B73" s="32" t="s">
        <v>134</v>
      </c>
      <c r="C73" s="43" t="s">
        <v>413</v>
      </c>
      <c r="D73" s="34">
        <f>32494.45</f>
        <v>32494.45</v>
      </c>
      <c r="E73" s="34">
        <v>0</v>
      </c>
      <c r="F73" s="35">
        <f t="shared" si="0"/>
        <v>32494.45</v>
      </c>
      <c r="G73" s="36"/>
      <c r="H73" s="37"/>
    </row>
    <row r="74" spans="1:8" ht="15" customHeight="1" x14ac:dyDescent="0.25">
      <c r="A74" s="38" t="s">
        <v>535</v>
      </c>
      <c r="B74" s="32" t="s">
        <v>134</v>
      </c>
      <c r="C74" s="43" t="s">
        <v>176</v>
      </c>
      <c r="D74" s="34">
        <f>D75+D86</f>
        <v>296700</v>
      </c>
      <c r="E74" s="34">
        <f>E75+E86</f>
        <v>117329.12</v>
      </c>
      <c r="F74" s="35">
        <f t="shared" si="0"/>
        <v>179370.88</v>
      </c>
      <c r="G74" s="36"/>
      <c r="H74" s="37"/>
    </row>
    <row r="75" spans="1:8" ht="27" customHeight="1" x14ac:dyDescent="0.25">
      <c r="A75" s="38" t="s">
        <v>382</v>
      </c>
      <c r="B75" s="32" t="s">
        <v>134</v>
      </c>
      <c r="C75" s="43" t="s">
        <v>415</v>
      </c>
      <c r="D75" s="34">
        <f>D77</f>
        <v>296000</v>
      </c>
      <c r="E75" s="34">
        <f>E77</f>
        <v>117329.12</v>
      </c>
      <c r="F75" s="35">
        <f t="shared" ref="F75:F138" si="11">D75-E75</f>
        <v>178670.88</v>
      </c>
      <c r="G75" s="36"/>
      <c r="H75" s="37"/>
    </row>
    <row r="76" spans="1:8" ht="24.75" customHeight="1" x14ac:dyDescent="0.25">
      <c r="A76" s="38" t="s">
        <v>398</v>
      </c>
      <c r="B76" s="32" t="s">
        <v>134</v>
      </c>
      <c r="C76" s="43" t="s">
        <v>416</v>
      </c>
      <c r="D76" s="34">
        <f>D77</f>
        <v>296000</v>
      </c>
      <c r="E76" s="34">
        <f>E77</f>
        <v>117329.12</v>
      </c>
      <c r="F76" s="35">
        <f t="shared" si="11"/>
        <v>178670.88</v>
      </c>
      <c r="G76" s="36"/>
      <c r="H76" s="37"/>
    </row>
    <row r="77" spans="1:8" ht="25.5" customHeight="1" x14ac:dyDescent="0.25">
      <c r="A77" s="38" t="s">
        <v>414</v>
      </c>
      <c r="B77" s="32" t="s">
        <v>134</v>
      </c>
      <c r="C77" s="43" t="s">
        <v>417</v>
      </c>
      <c r="D77" s="34">
        <f>D78+D85</f>
        <v>296000</v>
      </c>
      <c r="E77" s="34">
        <f>E78+E85</f>
        <v>117329.12</v>
      </c>
      <c r="F77" s="35">
        <f t="shared" si="11"/>
        <v>178670.88</v>
      </c>
      <c r="G77" s="36"/>
      <c r="H77" s="37"/>
    </row>
    <row r="78" spans="1:8" ht="59.25" customHeight="1" x14ac:dyDescent="0.25">
      <c r="A78" s="38" t="s">
        <v>536</v>
      </c>
      <c r="B78" s="32" t="s">
        <v>134</v>
      </c>
      <c r="C78" s="43" t="s">
        <v>177</v>
      </c>
      <c r="D78" s="34">
        <f t="shared" ref="D78:E80" si="12">D79</f>
        <v>190000</v>
      </c>
      <c r="E78" s="34">
        <f t="shared" si="12"/>
        <v>57329.120000000003</v>
      </c>
      <c r="F78" s="35">
        <f t="shared" si="11"/>
        <v>132670.88</v>
      </c>
      <c r="G78" s="36"/>
      <c r="H78" s="37"/>
    </row>
    <row r="79" spans="1:8" ht="27.75" customHeight="1" x14ac:dyDescent="0.25">
      <c r="A79" s="38" t="s">
        <v>522</v>
      </c>
      <c r="B79" s="32" t="s">
        <v>134</v>
      </c>
      <c r="C79" s="43" t="s">
        <v>418</v>
      </c>
      <c r="D79" s="34">
        <f t="shared" si="12"/>
        <v>190000</v>
      </c>
      <c r="E79" s="34">
        <f t="shared" si="12"/>
        <v>57329.120000000003</v>
      </c>
      <c r="F79" s="35">
        <f t="shared" si="11"/>
        <v>132670.88</v>
      </c>
      <c r="G79" s="36"/>
      <c r="H79" s="37"/>
    </row>
    <row r="80" spans="1:8" ht="30" customHeight="1" x14ac:dyDescent="0.25">
      <c r="A80" s="38" t="s">
        <v>523</v>
      </c>
      <c r="B80" s="32" t="s">
        <v>134</v>
      </c>
      <c r="C80" s="43" t="s">
        <v>419</v>
      </c>
      <c r="D80" s="34">
        <f t="shared" si="12"/>
        <v>190000</v>
      </c>
      <c r="E80" s="34">
        <f t="shared" si="12"/>
        <v>57329.120000000003</v>
      </c>
      <c r="F80" s="35">
        <f t="shared" si="11"/>
        <v>132670.88</v>
      </c>
      <c r="G80" s="36"/>
      <c r="H80" s="37"/>
    </row>
    <row r="81" spans="1:8" ht="27" customHeight="1" x14ac:dyDescent="0.25">
      <c r="A81" s="38" t="s">
        <v>524</v>
      </c>
      <c r="B81" s="32" t="s">
        <v>134</v>
      </c>
      <c r="C81" s="43" t="s">
        <v>420</v>
      </c>
      <c r="D81" s="34">
        <f>190000</f>
        <v>190000</v>
      </c>
      <c r="E81" s="34">
        <v>57329.120000000003</v>
      </c>
      <c r="F81" s="35">
        <f t="shared" si="11"/>
        <v>132670.88</v>
      </c>
      <c r="G81" s="36"/>
      <c r="H81" s="37"/>
    </row>
    <row r="82" spans="1:8" ht="31.5" customHeight="1" x14ac:dyDescent="0.25">
      <c r="A82" s="38" t="s">
        <v>537</v>
      </c>
      <c r="B82" s="32" t="s">
        <v>134</v>
      </c>
      <c r="C82" s="43" t="s">
        <v>178</v>
      </c>
      <c r="D82" s="34">
        <f t="shared" ref="D82:E84" si="13">D83</f>
        <v>106000</v>
      </c>
      <c r="E82" s="34">
        <f t="shared" si="13"/>
        <v>60000</v>
      </c>
      <c r="F82" s="35">
        <f t="shared" si="11"/>
        <v>46000</v>
      </c>
      <c r="G82" s="36"/>
      <c r="H82" s="37"/>
    </row>
    <row r="83" spans="1:8" ht="31.5" customHeight="1" x14ac:dyDescent="0.25">
      <c r="A83" s="38" t="s">
        <v>522</v>
      </c>
      <c r="B83" s="32" t="s">
        <v>134</v>
      </c>
      <c r="C83" s="43" t="s">
        <v>421</v>
      </c>
      <c r="D83" s="34">
        <f t="shared" si="13"/>
        <v>106000</v>
      </c>
      <c r="E83" s="34">
        <f t="shared" si="13"/>
        <v>60000</v>
      </c>
      <c r="F83" s="35">
        <f t="shared" si="11"/>
        <v>46000</v>
      </c>
      <c r="G83" s="36"/>
      <c r="H83" s="37"/>
    </row>
    <row r="84" spans="1:8" ht="31.5" customHeight="1" x14ac:dyDescent="0.25">
      <c r="A84" s="38" t="s">
        <v>523</v>
      </c>
      <c r="B84" s="32" t="s">
        <v>134</v>
      </c>
      <c r="C84" s="43" t="s">
        <v>422</v>
      </c>
      <c r="D84" s="34">
        <f t="shared" si="13"/>
        <v>106000</v>
      </c>
      <c r="E84" s="34">
        <f t="shared" si="13"/>
        <v>60000</v>
      </c>
      <c r="F84" s="35">
        <f t="shared" si="11"/>
        <v>46000</v>
      </c>
      <c r="G84" s="36"/>
      <c r="H84" s="37"/>
    </row>
    <row r="85" spans="1:8" ht="31.5" customHeight="1" x14ac:dyDescent="0.25">
      <c r="A85" s="38" t="s">
        <v>524</v>
      </c>
      <c r="B85" s="32" t="s">
        <v>134</v>
      </c>
      <c r="C85" s="43" t="s">
        <v>423</v>
      </c>
      <c r="D85" s="34">
        <f>106000</f>
        <v>106000</v>
      </c>
      <c r="E85" s="34">
        <v>60000</v>
      </c>
      <c r="F85" s="35">
        <f t="shared" si="11"/>
        <v>46000</v>
      </c>
      <c r="G85" s="36"/>
      <c r="H85" s="37"/>
    </row>
    <row r="86" spans="1:8" ht="15" customHeight="1" x14ac:dyDescent="0.25">
      <c r="A86" s="38" t="s">
        <v>375</v>
      </c>
      <c r="B86" s="32" t="s">
        <v>134</v>
      </c>
      <c r="C86" s="43" t="s">
        <v>179</v>
      </c>
      <c r="D86" s="34">
        <f t="shared" ref="D86:E90" si="14">D87</f>
        <v>700</v>
      </c>
      <c r="E86" s="34">
        <f t="shared" si="14"/>
        <v>0</v>
      </c>
      <c r="F86" s="35">
        <f t="shared" si="11"/>
        <v>700</v>
      </c>
      <c r="G86" s="36"/>
      <c r="H86" s="37"/>
    </row>
    <row r="87" spans="1:8" ht="15" customHeight="1" x14ac:dyDescent="0.25">
      <c r="A87" s="38" t="s">
        <v>538</v>
      </c>
      <c r="B87" s="32" t="s">
        <v>134</v>
      </c>
      <c r="C87" s="43" t="s">
        <v>180</v>
      </c>
      <c r="D87" s="34">
        <f>D88</f>
        <v>700</v>
      </c>
      <c r="E87" s="34">
        <f>E88</f>
        <v>0</v>
      </c>
      <c r="F87" s="35">
        <f t="shared" si="11"/>
        <v>700</v>
      </c>
      <c r="G87" s="36"/>
      <c r="H87" s="37"/>
    </row>
    <row r="88" spans="1:8" ht="71.25" customHeight="1" x14ac:dyDescent="0.25">
      <c r="A88" s="38" t="s">
        <v>539</v>
      </c>
      <c r="B88" s="32" t="s">
        <v>134</v>
      </c>
      <c r="C88" s="43" t="s">
        <v>181</v>
      </c>
      <c r="D88" s="34">
        <f>D89</f>
        <v>700</v>
      </c>
      <c r="E88" s="34">
        <f>E89</f>
        <v>0</v>
      </c>
      <c r="F88" s="35">
        <f t="shared" si="11"/>
        <v>700</v>
      </c>
      <c r="G88" s="36"/>
      <c r="H88" s="37"/>
    </row>
    <row r="89" spans="1:8" ht="29.25" customHeight="1" x14ac:dyDescent="0.25">
      <c r="A89" s="38" t="s">
        <v>522</v>
      </c>
      <c r="B89" s="32" t="s">
        <v>134</v>
      </c>
      <c r="C89" s="43" t="s">
        <v>424</v>
      </c>
      <c r="D89" s="34">
        <f t="shared" si="14"/>
        <v>700</v>
      </c>
      <c r="E89" s="34">
        <f t="shared" si="14"/>
        <v>0</v>
      </c>
      <c r="F89" s="35">
        <f t="shared" si="11"/>
        <v>700</v>
      </c>
      <c r="G89" s="36"/>
      <c r="H89" s="37"/>
    </row>
    <row r="90" spans="1:8" ht="26.25" customHeight="1" x14ac:dyDescent="0.25">
      <c r="A90" s="38" t="s">
        <v>523</v>
      </c>
      <c r="B90" s="32" t="s">
        <v>134</v>
      </c>
      <c r="C90" s="43" t="s">
        <v>425</v>
      </c>
      <c r="D90" s="34">
        <f t="shared" si="14"/>
        <v>700</v>
      </c>
      <c r="E90" s="34">
        <f t="shared" si="14"/>
        <v>0</v>
      </c>
      <c r="F90" s="35">
        <f t="shared" si="11"/>
        <v>700</v>
      </c>
      <c r="G90" s="36"/>
      <c r="H90" s="37"/>
    </row>
    <row r="91" spans="1:8" ht="24.75" customHeight="1" x14ac:dyDescent="0.25">
      <c r="A91" s="38" t="s">
        <v>524</v>
      </c>
      <c r="B91" s="32" t="s">
        <v>134</v>
      </c>
      <c r="C91" s="43" t="s">
        <v>426</v>
      </c>
      <c r="D91" s="34">
        <f>700</f>
        <v>700</v>
      </c>
      <c r="E91" s="34">
        <v>0</v>
      </c>
      <c r="F91" s="35">
        <f t="shared" si="11"/>
        <v>700</v>
      </c>
      <c r="G91" s="36"/>
      <c r="H91" s="37"/>
    </row>
    <row r="92" spans="1:8" ht="27" customHeight="1" x14ac:dyDescent="0.25">
      <c r="A92" s="38" t="s">
        <v>540</v>
      </c>
      <c r="B92" s="32" t="s">
        <v>134</v>
      </c>
      <c r="C92" s="43" t="s">
        <v>182</v>
      </c>
      <c r="D92" s="34">
        <f>D93+D100</f>
        <v>730000</v>
      </c>
      <c r="E92" s="34">
        <f>E93+E100</f>
        <v>632750.97</v>
      </c>
      <c r="F92" s="35">
        <f t="shared" si="11"/>
        <v>97249.030000000028</v>
      </c>
      <c r="G92" s="36"/>
      <c r="H92" s="37"/>
    </row>
    <row r="93" spans="1:8" ht="27" customHeight="1" x14ac:dyDescent="0.25">
      <c r="A93" s="38" t="s">
        <v>541</v>
      </c>
      <c r="B93" s="32" t="s">
        <v>134</v>
      </c>
      <c r="C93" s="43" t="s">
        <v>183</v>
      </c>
      <c r="D93" s="34">
        <f t="shared" ref="D93:E98" si="15">D94</f>
        <v>20000</v>
      </c>
      <c r="E93" s="34">
        <f t="shared" si="15"/>
        <v>1753.59</v>
      </c>
      <c r="F93" s="35">
        <f t="shared" si="11"/>
        <v>18246.41</v>
      </c>
      <c r="G93" s="36"/>
      <c r="H93" s="37"/>
    </row>
    <row r="94" spans="1:8" ht="34.5" customHeight="1" x14ac:dyDescent="0.25">
      <c r="A94" s="38" t="s">
        <v>427</v>
      </c>
      <c r="B94" s="32" t="s">
        <v>134</v>
      </c>
      <c r="C94" s="43" t="s">
        <v>429</v>
      </c>
      <c r="D94" s="34">
        <f t="shared" si="15"/>
        <v>20000</v>
      </c>
      <c r="E94" s="34">
        <f t="shared" si="15"/>
        <v>1753.59</v>
      </c>
      <c r="F94" s="35">
        <f t="shared" si="11"/>
        <v>18246.41</v>
      </c>
      <c r="G94" s="36"/>
      <c r="H94" s="37"/>
    </row>
    <row r="95" spans="1:8" ht="45.75" customHeight="1" x14ac:dyDescent="0.25">
      <c r="A95" s="38" t="s">
        <v>428</v>
      </c>
      <c r="B95" s="32" t="s">
        <v>134</v>
      </c>
      <c r="C95" s="43" t="s">
        <v>430</v>
      </c>
      <c r="D95" s="34">
        <f t="shared" si="15"/>
        <v>20000</v>
      </c>
      <c r="E95" s="34">
        <f t="shared" si="15"/>
        <v>1753.59</v>
      </c>
      <c r="F95" s="35">
        <f t="shared" si="11"/>
        <v>18246.41</v>
      </c>
      <c r="G95" s="36"/>
      <c r="H95" s="37"/>
    </row>
    <row r="96" spans="1:8" ht="35.25" customHeight="1" x14ac:dyDescent="0.25">
      <c r="A96" s="38" t="s">
        <v>542</v>
      </c>
      <c r="B96" s="32" t="s">
        <v>134</v>
      </c>
      <c r="C96" s="43" t="s">
        <v>184</v>
      </c>
      <c r="D96" s="34">
        <f t="shared" si="15"/>
        <v>20000</v>
      </c>
      <c r="E96" s="34">
        <f t="shared" si="15"/>
        <v>1753.59</v>
      </c>
      <c r="F96" s="35">
        <f t="shared" si="11"/>
        <v>18246.41</v>
      </c>
      <c r="G96" s="36"/>
      <c r="H96" s="37"/>
    </row>
    <row r="97" spans="1:8" ht="26.25" customHeight="1" x14ac:dyDescent="0.25">
      <c r="A97" s="38" t="s">
        <v>522</v>
      </c>
      <c r="B97" s="32" t="s">
        <v>134</v>
      </c>
      <c r="C97" s="43" t="s">
        <v>431</v>
      </c>
      <c r="D97" s="34">
        <f t="shared" si="15"/>
        <v>20000</v>
      </c>
      <c r="E97" s="34">
        <f t="shared" si="15"/>
        <v>1753.59</v>
      </c>
      <c r="F97" s="35">
        <f t="shared" si="11"/>
        <v>18246.41</v>
      </c>
      <c r="G97" s="36"/>
      <c r="H97" s="37"/>
    </row>
    <row r="98" spans="1:8" ht="25.5" customHeight="1" x14ac:dyDescent="0.25">
      <c r="A98" s="38" t="s">
        <v>523</v>
      </c>
      <c r="B98" s="32" t="s">
        <v>134</v>
      </c>
      <c r="C98" s="43" t="s">
        <v>432</v>
      </c>
      <c r="D98" s="34">
        <f t="shared" si="15"/>
        <v>20000</v>
      </c>
      <c r="E98" s="34">
        <f t="shared" si="15"/>
        <v>1753.59</v>
      </c>
      <c r="F98" s="35">
        <f t="shared" si="11"/>
        <v>18246.41</v>
      </c>
      <c r="G98" s="36"/>
      <c r="H98" s="37"/>
    </row>
    <row r="99" spans="1:8" ht="28.5" customHeight="1" x14ac:dyDescent="0.25">
      <c r="A99" s="38" t="s">
        <v>524</v>
      </c>
      <c r="B99" s="32" t="s">
        <v>134</v>
      </c>
      <c r="C99" s="43" t="s">
        <v>433</v>
      </c>
      <c r="D99" s="34">
        <v>20000</v>
      </c>
      <c r="E99" s="34">
        <v>1753.59</v>
      </c>
      <c r="F99" s="35">
        <f t="shared" si="11"/>
        <v>18246.41</v>
      </c>
      <c r="G99" s="36"/>
      <c r="H99" s="37"/>
    </row>
    <row r="100" spans="1:8" ht="27" customHeight="1" x14ac:dyDescent="0.25">
      <c r="A100" s="38" t="s">
        <v>543</v>
      </c>
      <c r="B100" s="32" t="s">
        <v>134</v>
      </c>
      <c r="C100" s="43" t="s">
        <v>185</v>
      </c>
      <c r="D100" s="34">
        <f t="shared" ref="D100:E100" si="16">D101</f>
        <v>710000</v>
      </c>
      <c r="E100" s="34">
        <f t="shared" si="16"/>
        <v>630997.38</v>
      </c>
      <c r="F100" s="35">
        <f t="shared" si="11"/>
        <v>79002.62</v>
      </c>
      <c r="G100" s="36"/>
      <c r="H100" s="37"/>
    </row>
    <row r="101" spans="1:8" ht="38.25" customHeight="1" x14ac:dyDescent="0.25">
      <c r="A101" s="38" t="s">
        <v>427</v>
      </c>
      <c r="B101" s="32" t="s">
        <v>134</v>
      </c>
      <c r="C101" s="43" t="s">
        <v>434</v>
      </c>
      <c r="D101" s="34">
        <f>D102+D109</f>
        <v>710000</v>
      </c>
      <c r="E101" s="34">
        <f>E102+E109</f>
        <v>630997.38</v>
      </c>
      <c r="F101" s="35">
        <f t="shared" si="11"/>
        <v>79002.62</v>
      </c>
      <c r="G101" s="36"/>
      <c r="H101" s="37"/>
    </row>
    <row r="102" spans="1:8" ht="27" customHeight="1" x14ac:dyDescent="0.25">
      <c r="A102" s="38" t="s">
        <v>435</v>
      </c>
      <c r="B102" s="32" t="s">
        <v>134</v>
      </c>
      <c r="C102" s="43" t="s">
        <v>436</v>
      </c>
      <c r="D102" s="34">
        <f>D103</f>
        <v>700000</v>
      </c>
      <c r="E102" s="34">
        <f>E103</f>
        <v>624697.38</v>
      </c>
      <c r="F102" s="35">
        <f t="shared" si="11"/>
        <v>75302.62</v>
      </c>
      <c r="G102" s="36"/>
      <c r="H102" s="37"/>
    </row>
    <row r="103" spans="1:8" ht="35.25" customHeight="1" x14ac:dyDescent="0.25">
      <c r="A103" s="38" t="s">
        <v>544</v>
      </c>
      <c r="B103" s="32" t="s">
        <v>134</v>
      </c>
      <c r="C103" s="43" t="s">
        <v>186</v>
      </c>
      <c r="D103" s="34">
        <f>D104+D107</f>
        <v>700000</v>
      </c>
      <c r="E103" s="34">
        <f>E104+E107</f>
        <v>624697.38</v>
      </c>
      <c r="F103" s="35">
        <f t="shared" si="11"/>
        <v>75302.62</v>
      </c>
      <c r="G103" s="36"/>
      <c r="H103" s="37"/>
    </row>
    <row r="104" spans="1:8" ht="27" customHeight="1" x14ac:dyDescent="0.25">
      <c r="A104" s="38" t="s">
        <v>522</v>
      </c>
      <c r="B104" s="32" t="s">
        <v>134</v>
      </c>
      <c r="C104" s="43" t="s">
        <v>187</v>
      </c>
      <c r="D104" s="34">
        <f t="shared" ref="D104:E105" si="17">D105</f>
        <v>100000</v>
      </c>
      <c r="E104" s="34">
        <f t="shared" si="17"/>
        <v>24697.38</v>
      </c>
      <c r="F104" s="35">
        <f t="shared" si="11"/>
        <v>75302.62</v>
      </c>
      <c r="G104" s="36"/>
      <c r="H104" s="37"/>
    </row>
    <row r="105" spans="1:8" ht="27" customHeight="1" x14ac:dyDescent="0.25">
      <c r="A105" s="38" t="s">
        <v>523</v>
      </c>
      <c r="B105" s="32" t="s">
        <v>134</v>
      </c>
      <c r="C105" s="43" t="s">
        <v>188</v>
      </c>
      <c r="D105" s="34">
        <f t="shared" si="17"/>
        <v>100000</v>
      </c>
      <c r="E105" s="34">
        <f t="shared" si="17"/>
        <v>24697.38</v>
      </c>
      <c r="F105" s="35">
        <f t="shared" si="11"/>
        <v>75302.62</v>
      </c>
      <c r="G105" s="36"/>
      <c r="H105" s="37"/>
    </row>
    <row r="106" spans="1:8" ht="27" customHeight="1" x14ac:dyDescent="0.25">
      <c r="A106" s="38" t="s">
        <v>524</v>
      </c>
      <c r="B106" s="32" t="s">
        <v>134</v>
      </c>
      <c r="C106" s="43" t="s">
        <v>189</v>
      </c>
      <c r="D106" s="34">
        <f>100000</f>
        <v>100000</v>
      </c>
      <c r="E106" s="34">
        <v>24697.38</v>
      </c>
      <c r="F106" s="35">
        <f t="shared" si="11"/>
        <v>75302.62</v>
      </c>
      <c r="G106" s="36"/>
      <c r="H106" s="37"/>
    </row>
    <row r="107" spans="1:8" ht="15" customHeight="1" x14ac:dyDescent="0.25">
      <c r="A107" s="38" t="str">
        <f>[1]июнь!A146</f>
        <v>Иные бюджетные ассигнования</v>
      </c>
      <c r="B107" s="32" t="s">
        <v>134</v>
      </c>
      <c r="C107" s="43" t="s">
        <v>830</v>
      </c>
      <c r="D107" s="34">
        <f>D108</f>
        <v>600000</v>
      </c>
      <c r="E107" s="34">
        <f>E108</f>
        <v>600000</v>
      </c>
      <c r="F107" s="35">
        <f t="shared" si="11"/>
        <v>0</v>
      </c>
      <c r="G107" s="36"/>
      <c r="H107" s="37"/>
    </row>
    <row r="108" spans="1:8" ht="36.75" customHeight="1" x14ac:dyDescent="0.25">
      <c r="A108" s="38" t="str">
        <f>[1]июнь!A147</f>
        <v>Субсидии юридическим лицам (кроме некоммерческих организаций), индивидуальным предпринимателям, физическим лицам -производителям товаров, работ, услуг</v>
      </c>
      <c r="B108" s="32" t="s">
        <v>134</v>
      </c>
      <c r="C108" s="43" t="s">
        <v>831</v>
      </c>
      <c r="D108" s="34">
        <v>600000</v>
      </c>
      <c r="E108" s="34">
        <v>600000</v>
      </c>
      <c r="F108" s="35">
        <f t="shared" si="11"/>
        <v>0</v>
      </c>
      <c r="G108" s="36"/>
      <c r="H108" s="37"/>
    </row>
    <row r="109" spans="1:8" ht="24.75" customHeight="1" x14ac:dyDescent="0.25">
      <c r="A109" s="38" t="s">
        <v>437</v>
      </c>
      <c r="B109" s="32" t="s">
        <v>134</v>
      </c>
      <c r="C109" s="43" t="s">
        <v>438</v>
      </c>
      <c r="D109" s="34">
        <f>D110</f>
        <v>10000</v>
      </c>
      <c r="E109" s="34">
        <f>E110</f>
        <v>6300</v>
      </c>
      <c r="F109" s="35">
        <f t="shared" si="11"/>
        <v>3700</v>
      </c>
      <c r="G109" s="36"/>
      <c r="H109" s="37"/>
    </row>
    <row r="110" spans="1:8" ht="34.5" customHeight="1" x14ac:dyDescent="0.25">
      <c r="A110" s="38" t="s">
        <v>545</v>
      </c>
      <c r="B110" s="32" t="s">
        <v>134</v>
      </c>
      <c r="C110" s="43" t="s">
        <v>190</v>
      </c>
      <c r="D110" s="34">
        <f>D111</f>
        <v>10000</v>
      </c>
      <c r="E110" s="34">
        <f>E111</f>
        <v>6300</v>
      </c>
      <c r="F110" s="35">
        <f t="shared" si="11"/>
        <v>3700</v>
      </c>
      <c r="G110" s="36"/>
      <c r="H110" s="37"/>
    </row>
    <row r="111" spans="1:8" ht="25.5" customHeight="1" x14ac:dyDescent="0.25">
      <c r="A111" s="38" t="s">
        <v>522</v>
      </c>
      <c r="B111" s="32" t="s">
        <v>134</v>
      </c>
      <c r="C111" s="43" t="s">
        <v>439</v>
      </c>
      <c r="D111" s="34">
        <f t="shared" ref="D111:E112" si="18">D112</f>
        <v>10000</v>
      </c>
      <c r="E111" s="34">
        <f t="shared" si="18"/>
        <v>6300</v>
      </c>
      <c r="F111" s="35">
        <f t="shared" si="11"/>
        <v>3700</v>
      </c>
      <c r="G111" s="36"/>
      <c r="H111" s="37"/>
    </row>
    <row r="112" spans="1:8" ht="25.5" customHeight="1" x14ac:dyDescent="0.25">
      <c r="A112" s="38" t="s">
        <v>523</v>
      </c>
      <c r="B112" s="32" t="s">
        <v>134</v>
      </c>
      <c r="C112" s="43" t="s">
        <v>440</v>
      </c>
      <c r="D112" s="34">
        <f t="shared" si="18"/>
        <v>10000</v>
      </c>
      <c r="E112" s="34">
        <f t="shared" si="18"/>
        <v>6300</v>
      </c>
      <c r="F112" s="35">
        <f t="shared" si="11"/>
        <v>3700</v>
      </c>
      <c r="G112" s="36"/>
      <c r="H112" s="37"/>
    </row>
    <row r="113" spans="1:8" ht="24" customHeight="1" x14ac:dyDescent="0.25">
      <c r="A113" s="38" t="s">
        <v>524</v>
      </c>
      <c r="B113" s="32" t="s">
        <v>134</v>
      </c>
      <c r="C113" s="43" t="s">
        <v>441</v>
      </c>
      <c r="D113" s="34">
        <f>10000</f>
        <v>10000</v>
      </c>
      <c r="E113" s="34">
        <v>6300</v>
      </c>
      <c r="F113" s="35">
        <f t="shared" si="11"/>
        <v>3700</v>
      </c>
      <c r="G113" s="36"/>
      <c r="H113" s="37"/>
    </row>
    <row r="114" spans="1:8" ht="15" customHeight="1" x14ac:dyDescent="0.25">
      <c r="A114" s="38" t="s">
        <v>546</v>
      </c>
      <c r="B114" s="32" t="s">
        <v>134</v>
      </c>
      <c r="C114" s="43" t="s">
        <v>191</v>
      </c>
      <c r="D114" s="34">
        <f>D115+D134+D140+D152+D160+D168+D205</f>
        <v>78462685.359999999</v>
      </c>
      <c r="E114" s="34">
        <f>E115+E134+E140+E152+E160+E168+E205</f>
        <v>31100945.939999998</v>
      </c>
      <c r="F114" s="35">
        <f t="shared" si="11"/>
        <v>47361739.420000002</v>
      </c>
      <c r="G114" s="36"/>
      <c r="H114" s="37"/>
    </row>
    <row r="115" spans="1:8" ht="15" customHeight="1" x14ac:dyDescent="0.25">
      <c r="A115" s="38" t="s">
        <v>547</v>
      </c>
      <c r="B115" s="32" t="s">
        <v>134</v>
      </c>
      <c r="C115" s="43" t="s">
        <v>192</v>
      </c>
      <c r="D115" s="34">
        <f t="shared" ref="D115:E116" si="19">D116</f>
        <v>133400</v>
      </c>
      <c r="E115" s="34">
        <f t="shared" si="19"/>
        <v>82333.399999999994</v>
      </c>
      <c r="F115" s="35">
        <f t="shared" si="11"/>
        <v>51066.600000000006</v>
      </c>
      <c r="G115" s="36"/>
      <c r="H115" s="37"/>
    </row>
    <row r="116" spans="1:8" ht="18" customHeight="1" x14ac:dyDescent="0.25">
      <c r="A116" s="38" t="s">
        <v>375</v>
      </c>
      <c r="B116" s="32" t="s">
        <v>134</v>
      </c>
      <c r="C116" s="43" t="s">
        <v>193</v>
      </c>
      <c r="D116" s="34">
        <f t="shared" si="19"/>
        <v>133400</v>
      </c>
      <c r="E116" s="34">
        <f t="shared" si="19"/>
        <v>82333.399999999994</v>
      </c>
      <c r="F116" s="35">
        <f t="shared" si="11"/>
        <v>51066.600000000006</v>
      </c>
      <c r="G116" s="36"/>
      <c r="H116" s="37"/>
    </row>
    <row r="117" spans="1:8" ht="19.5" customHeight="1" x14ac:dyDescent="0.25">
      <c r="A117" s="38" t="s">
        <v>538</v>
      </c>
      <c r="B117" s="32" t="s">
        <v>134</v>
      </c>
      <c r="C117" s="43" t="s">
        <v>194</v>
      </c>
      <c r="D117" s="34">
        <f>D118+D126</f>
        <v>133400</v>
      </c>
      <c r="E117" s="34">
        <f>E118+E126</f>
        <v>82333.399999999994</v>
      </c>
      <c r="F117" s="35">
        <f t="shared" si="11"/>
        <v>51066.600000000006</v>
      </c>
      <c r="G117" s="36"/>
      <c r="H117" s="37"/>
    </row>
    <row r="118" spans="1:8" ht="44.25" customHeight="1" x14ac:dyDescent="0.25">
      <c r="A118" s="38" t="s">
        <v>548</v>
      </c>
      <c r="B118" s="32" t="s">
        <v>134</v>
      </c>
      <c r="C118" s="43" t="s">
        <v>195</v>
      </c>
      <c r="D118" s="34">
        <f>D119+D123</f>
        <v>44500</v>
      </c>
      <c r="E118" s="34">
        <f>E119+E123</f>
        <v>29141.95</v>
      </c>
      <c r="F118" s="35">
        <f t="shared" si="11"/>
        <v>15358.05</v>
      </c>
      <c r="G118" s="36"/>
      <c r="H118" s="37"/>
    </row>
    <row r="119" spans="1:8" ht="48.75" customHeight="1" x14ac:dyDescent="0.25">
      <c r="A119" s="38" t="s">
        <v>515</v>
      </c>
      <c r="B119" s="32" t="s">
        <v>134</v>
      </c>
      <c r="C119" s="43" t="s">
        <v>196</v>
      </c>
      <c r="D119" s="34">
        <f>D120</f>
        <v>42383</v>
      </c>
      <c r="E119" s="34">
        <f>E120</f>
        <v>29141.95</v>
      </c>
      <c r="F119" s="35">
        <f t="shared" si="11"/>
        <v>13241.05</v>
      </c>
      <c r="G119" s="36"/>
      <c r="H119" s="37"/>
    </row>
    <row r="120" spans="1:8" ht="27" customHeight="1" x14ac:dyDescent="0.25">
      <c r="A120" s="38" t="s">
        <v>516</v>
      </c>
      <c r="B120" s="32" t="s">
        <v>134</v>
      </c>
      <c r="C120" s="43" t="s">
        <v>197</v>
      </c>
      <c r="D120" s="34">
        <f>D121+D122</f>
        <v>42383</v>
      </c>
      <c r="E120" s="34">
        <f>E121+E122</f>
        <v>29141.95</v>
      </c>
      <c r="F120" s="35">
        <f t="shared" si="11"/>
        <v>13241.05</v>
      </c>
      <c r="G120" s="36"/>
      <c r="H120" s="37"/>
    </row>
    <row r="121" spans="1:8" ht="22.5" customHeight="1" x14ac:dyDescent="0.25">
      <c r="A121" s="38" t="s">
        <v>517</v>
      </c>
      <c r="B121" s="32" t="s">
        <v>134</v>
      </c>
      <c r="C121" s="43" t="s">
        <v>198</v>
      </c>
      <c r="D121" s="34">
        <f>32517.5</f>
        <v>32517.5</v>
      </c>
      <c r="E121" s="34">
        <v>23120.5</v>
      </c>
      <c r="F121" s="35">
        <f t="shared" si="11"/>
        <v>9397</v>
      </c>
      <c r="G121" s="36"/>
      <c r="H121" s="37"/>
    </row>
    <row r="122" spans="1:8" ht="33.75" customHeight="1" x14ac:dyDescent="0.25">
      <c r="A122" s="39" t="s">
        <v>526</v>
      </c>
      <c r="B122" s="32" t="s">
        <v>134</v>
      </c>
      <c r="C122" s="43" t="s">
        <v>199</v>
      </c>
      <c r="D122" s="34">
        <f>9865.5</f>
        <v>9865.5</v>
      </c>
      <c r="E122" s="34">
        <v>6021.45</v>
      </c>
      <c r="F122" s="35">
        <f t="shared" si="11"/>
        <v>3844.05</v>
      </c>
      <c r="G122" s="36"/>
      <c r="H122" s="37"/>
    </row>
    <row r="123" spans="1:8" ht="24.75" customHeight="1" x14ac:dyDescent="0.25">
      <c r="A123" s="38" t="s">
        <v>522</v>
      </c>
      <c r="B123" s="32" t="s">
        <v>134</v>
      </c>
      <c r="C123" s="43" t="s">
        <v>442</v>
      </c>
      <c r="D123" s="34">
        <f t="shared" ref="D123:E124" si="20">D124</f>
        <v>2117</v>
      </c>
      <c r="E123" s="34">
        <f t="shared" si="20"/>
        <v>0</v>
      </c>
      <c r="F123" s="35">
        <f t="shared" si="11"/>
        <v>2117</v>
      </c>
      <c r="G123" s="36"/>
      <c r="H123" s="37"/>
    </row>
    <row r="124" spans="1:8" ht="27.75" customHeight="1" x14ac:dyDescent="0.25">
      <c r="A124" s="38" t="s">
        <v>523</v>
      </c>
      <c r="B124" s="32" t="s">
        <v>134</v>
      </c>
      <c r="C124" s="43" t="s">
        <v>443</v>
      </c>
      <c r="D124" s="34">
        <f t="shared" si="20"/>
        <v>2117</v>
      </c>
      <c r="E124" s="34">
        <f t="shared" si="20"/>
        <v>0</v>
      </c>
      <c r="F124" s="35">
        <f t="shared" si="11"/>
        <v>2117</v>
      </c>
      <c r="G124" s="36"/>
      <c r="H124" s="37"/>
    </row>
    <row r="125" spans="1:8" ht="27" customHeight="1" x14ac:dyDescent="0.25">
      <c r="A125" s="38" t="s">
        <v>524</v>
      </c>
      <c r="B125" s="32" t="s">
        <v>134</v>
      </c>
      <c r="C125" s="43" t="s">
        <v>444</v>
      </c>
      <c r="D125" s="34">
        <f>2117</f>
        <v>2117</v>
      </c>
      <c r="E125" s="34">
        <v>0</v>
      </c>
      <c r="F125" s="35">
        <f t="shared" si="11"/>
        <v>2117</v>
      </c>
      <c r="G125" s="36"/>
      <c r="H125" s="37"/>
    </row>
    <row r="126" spans="1:8" ht="34.5" customHeight="1" x14ac:dyDescent="0.25">
      <c r="A126" s="38" t="s">
        <v>549</v>
      </c>
      <c r="B126" s="32" t="s">
        <v>134</v>
      </c>
      <c r="C126" s="43" t="s">
        <v>200</v>
      </c>
      <c r="D126" s="34">
        <f>D127+D131</f>
        <v>88900</v>
      </c>
      <c r="E126" s="34">
        <f>E127+E131</f>
        <v>53191.45</v>
      </c>
      <c r="F126" s="35">
        <f t="shared" si="11"/>
        <v>35708.550000000003</v>
      </c>
      <c r="G126" s="36"/>
      <c r="H126" s="37"/>
    </row>
    <row r="127" spans="1:8" ht="48.75" customHeight="1" x14ac:dyDescent="0.25">
      <c r="A127" s="38" t="s">
        <v>515</v>
      </c>
      <c r="B127" s="32" t="s">
        <v>134</v>
      </c>
      <c r="C127" s="43" t="s">
        <v>201</v>
      </c>
      <c r="D127" s="34">
        <f>D128</f>
        <v>84666</v>
      </c>
      <c r="E127" s="34">
        <f>E128</f>
        <v>53191.45</v>
      </c>
      <c r="F127" s="35">
        <f t="shared" si="11"/>
        <v>31474.550000000003</v>
      </c>
      <c r="G127" s="36"/>
      <c r="H127" s="37"/>
    </row>
    <row r="128" spans="1:8" ht="26.25" customHeight="1" x14ac:dyDescent="0.25">
      <c r="A128" s="38" t="s">
        <v>516</v>
      </c>
      <c r="B128" s="32" t="s">
        <v>134</v>
      </c>
      <c r="C128" s="43" t="s">
        <v>675</v>
      </c>
      <c r="D128" s="34">
        <f>D129+D130</f>
        <v>84666</v>
      </c>
      <c r="E128" s="34">
        <f>E129+E130</f>
        <v>53191.45</v>
      </c>
      <c r="F128" s="35">
        <f t="shared" si="11"/>
        <v>31474.550000000003</v>
      </c>
      <c r="G128" s="36"/>
      <c r="H128" s="37"/>
    </row>
    <row r="129" spans="1:8" ht="18.75" customHeight="1" x14ac:dyDescent="0.25">
      <c r="A129" s="38" t="s">
        <v>517</v>
      </c>
      <c r="B129" s="32" t="s">
        <v>134</v>
      </c>
      <c r="C129" s="43" t="s">
        <v>676</v>
      </c>
      <c r="D129" s="34">
        <f>65025.4</f>
        <v>65025.4</v>
      </c>
      <c r="E129" s="34">
        <v>44519.839999999997</v>
      </c>
      <c r="F129" s="35">
        <f t="shared" si="11"/>
        <v>20505.560000000005</v>
      </c>
      <c r="G129" s="36"/>
      <c r="H129" s="37"/>
    </row>
    <row r="130" spans="1:8" ht="33.75" customHeight="1" x14ac:dyDescent="0.25">
      <c r="A130" s="39" t="s">
        <v>526</v>
      </c>
      <c r="B130" s="32" t="s">
        <v>134</v>
      </c>
      <c r="C130" s="43" t="s">
        <v>677</v>
      </c>
      <c r="D130" s="34">
        <f>19640.6</f>
        <v>19640.599999999999</v>
      </c>
      <c r="E130" s="34">
        <v>8671.61</v>
      </c>
      <c r="F130" s="35">
        <f t="shared" si="11"/>
        <v>10968.989999999998</v>
      </c>
      <c r="G130" s="36"/>
      <c r="H130" s="37"/>
    </row>
    <row r="131" spans="1:8" ht="24.75" customHeight="1" x14ac:dyDescent="0.25">
      <c r="A131" s="38" t="s">
        <v>522</v>
      </c>
      <c r="B131" s="32" t="s">
        <v>134</v>
      </c>
      <c r="C131" s="43" t="s">
        <v>678</v>
      </c>
      <c r="D131" s="34">
        <f>D132</f>
        <v>4234</v>
      </c>
      <c r="E131" s="34">
        <f>E132</f>
        <v>0</v>
      </c>
      <c r="F131" s="35">
        <f t="shared" si="11"/>
        <v>4234</v>
      </c>
      <c r="G131" s="36"/>
      <c r="H131" s="37"/>
    </row>
    <row r="132" spans="1:8" ht="24" customHeight="1" x14ac:dyDescent="0.25">
      <c r="A132" s="38" t="s">
        <v>523</v>
      </c>
      <c r="B132" s="32" t="s">
        <v>134</v>
      </c>
      <c r="C132" s="43" t="s">
        <v>679</v>
      </c>
      <c r="D132" s="34">
        <f>D133</f>
        <v>4234</v>
      </c>
      <c r="E132" s="34">
        <f>E133</f>
        <v>0</v>
      </c>
      <c r="F132" s="35">
        <f t="shared" si="11"/>
        <v>4234</v>
      </c>
      <c r="G132" s="36"/>
      <c r="H132" s="37"/>
    </row>
    <row r="133" spans="1:8" ht="24" customHeight="1" x14ac:dyDescent="0.25">
      <c r="A133" s="38" t="s">
        <v>524</v>
      </c>
      <c r="B133" s="32" t="s">
        <v>134</v>
      </c>
      <c r="C133" s="43" t="s">
        <v>680</v>
      </c>
      <c r="D133" s="34">
        <f>4234</f>
        <v>4234</v>
      </c>
      <c r="E133" s="34">
        <v>0</v>
      </c>
      <c r="F133" s="35">
        <f t="shared" si="11"/>
        <v>4234</v>
      </c>
      <c r="G133" s="36"/>
      <c r="H133" s="37"/>
    </row>
    <row r="134" spans="1:8" ht="16.5" customHeight="1" x14ac:dyDescent="0.25">
      <c r="A134" s="38" t="s">
        <v>550</v>
      </c>
      <c r="B134" s="32" t="s">
        <v>134</v>
      </c>
      <c r="C134" s="43" t="s">
        <v>202</v>
      </c>
      <c r="D134" s="34">
        <f>D135</f>
        <v>161000</v>
      </c>
      <c r="E134" s="34">
        <f>E135</f>
        <v>0</v>
      </c>
      <c r="F134" s="35">
        <f t="shared" si="11"/>
        <v>161000</v>
      </c>
      <c r="G134" s="36"/>
      <c r="H134" s="37"/>
    </row>
    <row r="135" spans="1:8" ht="16.5" customHeight="1" x14ac:dyDescent="0.25">
      <c r="A135" s="38" t="s">
        <v>375</v>
      </c>
      <c r="B135" s="32" t="s">
        <v>134</v>
      </c>
      <c r="C135" s="43" t="s">
        <v>203</v>
      </c>
      <c r="D135" s="34">
        <f>D136</f>
        <v>161000</v>
      </c>
      <c r="E135" s="34">
        <f>E136</f>
        <v>0</v>
      </c>
      <c r="F135" s="35">
        <f t="shared" si="11"/>
        <v>161000</v>
      </c>
      <c r="G135" s="36"/>
      <c r="H135" s="37"/>
    </row>
    <row r="136" spans="1:8" ht="57.75" customHeight="1" x14ac:dyDescent="0.25">
      <c r="A136" s="38" t="s">
        <v>445</v>
      </c>
      <c r="B136" s="32" t="s">
        <v>134</v>
      </c>
      <c r="C136" s="43" t="s">
        <v>446</v>
      </c>
      <c r="D136" s="34">
        <f t="shared" ref="D136:E138" si="21">D137</f>
        <v>161000</v>
      </c>
      <c r="E136" s="34">
        <f t="shared" si="21"/>
        <v>0</v>
      </c>
      <c r="F136" s="35">
        <f t="shared" si="11"/>
        <v>161000</v>
      </c>
      <c r="G136" s="36"/>
      <c r="H136" s="37"/>
    </row>
    <row r="137" spans="1:8" ht="36" customHeight="1" x14ac:dyDescent="0.25">
      <c r="A137" s="38" t="s">
        <v>551</v>
      </c>
      <c r="B137" s="32" t="s">
        <v>134</v>
      </c>
      <c r="C137" s="43" t="s">
        <v>204</v>
      </c>
      <c r="D137" s="34">
        <f t="shared" si="21"/>
        <v>161000</v>
      </c>
      <c r="E137" s="34">
        <f t="shared" si="21"/>
        <v>0</v>
      </c>
      <c r="F137" s="35">
        <f t="shared" si="11"/>
        <v>161000</v>
      </c>
      <c r="G137" s="36"/>
      <c r="H137" s="37"/>
    </row>
    <row r="138" spans="1:8" ht="15" customHeight="1" x14ac:dyDescent="0.25">
      <c r="A138" s="38" t="s">
        <v>410</v>
      </c>
      <c r="B138" s="32" t="s">
        <v>134</v>
      </c>
      <c r="C138" s="43" t="s">
        <v>447</v>
      </c>
      <c r="D138" s="34">
        <f t="shared" si="21"/>
        <v>161000</v>
      </c>
      <c r="E138" s="34">
        <f t="shared" si="21"/>
        <v>0</v>
      </c>
      <c r="F138" s="35">
        <f t="shared" si="11"/>
        <v>161000</v>
      </c>
      <c r="G138" s="36"/>
      <c r="H138" s="37"/>
    </row>
    <row r="139" spans="1:8" ht="14.25" customHeight="1" x14ac:dyDescent="0.25">
      <c r="A139" s="38" t="s">
        <v>411</v>
      </c>
      <c r="B139" s="32" t="s">
        <v>134</v>
      </c>
      <c r="C139" s="43" t="s">
        <v>448</v>
      </c>
      <c r="D139" s="34">
        <f>161000</f>
        <v>161000</v>
      </c>
      <c r="E139" s="34">
        <v>0</v>
      </c>
      <c r="F139" s="35">
        <f t="shared" ref="F139:F202" si="22">D139-E139</f>
        <v>161000</v>
      </c>
      <c r="G139" s="36"/>
      <c r="H139" s="37"/>
    </row>
    <row r="140" spans="1:8" ht="16.5" customHeight="1" x14ac:dyDescent="0.25">
      <c r="A140" s="38" t="s">
        <v>552</v>
      </c>
      <c r="B140" s="32" t="s">
        <v>134</v>
      </c>
      <c r="C140" s="43" t="s">
        <v>205</v>
      </c>
      <c r="D140" s="34">
        <f t="shared" ref="D140:E142" si="23">D141</f>
        <v>16867200</v>
      </c>
      <c r="E140" s="34">
        <f t="shared" si="23"/>
        <v>0</v>
      </c>
      <c r="F140" s="35">
        <f t="shared" si="22"/>
        <v>16867200</v>
      </c>
      <c r="G140" s="36"/>
      <c r="H140" s="37"/>
    </row>
    <row r="141" spans="1:8" ht="34.5" customHeight="1" x14ac:dyDescent="0.25">
      <c r="A141" s="38" t="s">
        <v>427</v>
      </c>
      <c r="B141" s="32" t="s">
        <v>134</v>
      </c>
      <c r="C141" s="43" t="s">
        <v>451</v>
      </c>
      <c r="D141" s="34">
        <f t="shared" si="23"/>
        <v>16867200</v>
      </c>
      <c r="E141" s="34">
        <f t="shared" si="23"/>
        <v>0</v>
      </c>
      <c r="F141" s="35">
        <f t="shared" si="22"/>
        <v>16867200</v>
      </c>
      <c r="G141" s="36"/>
      <c r="H141" s="37"/>
    </row>
    <row r="142" spans="1:8" ht="27" customHeight="1" x14ac:dyDescent="0.25">
      <c r="A142" s="38" t="s">
        <v>449</v>
      </c>
      <c r="B142" s="32" t="s">
        <v>134</v>
      </c>
      <c r="C142" s="43" t="s">
        <v>452</v>
      </c>
      <c r="D142" s="34">
        <f t="shared" si="23"/>
        <v>16867200</v>
      </c>
      <c r="E142" s="34">
        <f t="shared" si="23"/>
        <v>0</v>
      </c>
      <c r="F142" s="35">
        <f t="shared" si="22"/>
        <v>16867200</v>
      </c>
      <c r="G142" s="36"/>
      <c r="H142" s="37"/>
    </row>
    <row r="143" spans="1:8" ht="28.5" customHeight="1" x14ac:dyDescent="0.25">
      <c r="A143" s="38" t="s">
        <v>450</v>
      </c>
      <c r="B143" s="32" t="s">
        <v>134</v>
      </c>
      <c r="C143" s="43" t="s">
        <v>453</v>
      </c>
      <c r="D143" s="34">
        <f>D144+D148</f>
        <v>16867200</v>
      </c>
      <c r="E143" s="34">
        <f>E148</f>
        <v>0</v>
      </c>
      <c r="F143" s="35">
        <f t="shared" si="22"/>
        <v>16867200</v>
      </c>
      <c r="G143" s="36"/>
      <c r="H143" s="37"/>
    </row>
    <row r="144" spans="1:8" ht="38.25" customHeight="1" x14ac:dyDescent="0.25">
      <c r="A144" s="38" t="str">
        <f>[1]июнь!A198</f>
        <v xml:space="preserve"> Расходы на мероприятия федеральной целевой программы «Развитие водохозяйственного комплекса Российской Федерации в 2012 - 2020 годах»</v>
      </c>
      <c r="B144" s="32" t="s">
        <v>134</v>
      </c>
      <c r="C144" s="43" t="s">
        <v>846</v>
      </c>
      <c r="D144" s="34">
        <f t="shared" ref="D144:E146" si="24">D145</f>
        <v>11698600</v>
      </c>
      <c r="E144" s="34">
        <f t="shared" si="24"/>
        <v>0</v>
      </c>
      <c r="F144" s="35">
        <f t="shared" si="22"/>
        <v>11698600</v>
      </c>
      <c r="G144" s="36"/>
      <c r="H144" s="37"/>
    </row>
    <row r="145" spans="1:8" ht="28.5" customHeight="1" x14ac:dyDescent="0.25">
      <c r="A145" s="38" t="str">
        <f>[1]июнь!A199</f>
        <v>Закупка товаров, работ и услуг для обеспечения государственных (муниципальных) нужд</v>
      </c>
      <c r="B145" s="32" t="s">
        <v>134</v>
      </c>
      <c r="C145" s="43" t="s">
        <v>847</v>
      </c>
      <c r="D145" s="34">
        <f t="shared" si="24"/>
        <v>11698600</v>
      </c>
      <c r="E145" s="34">
        <f t="shared" si="24"/>
        <v>0</v>
      </c>
      <c r="F145" s="35">
        <f t="shared" si="22"/>
        <v>11698600</v>
      </c>
      <c r="G145" s="36"/>
      <c r="H145" s="37"/>
    </row>
    <row r="146" spans="1:8" ht="28.5" customHeight="1" x14ac:dyDescent="0.25">
      <c r="A146" s="38" t="str">
        <f>[1]июнь!A200</f>
        <v>Иные закупки товаров, работ и услуг для государственных (муниципальных) нужд</v>
      </c>
      <c r="B146" s="32" t="s">
        <v>134</v>
      </c>
      <c r="C146" s="43" t="s">
        <v>848</v>
      </c>
      <c r="D146" s="34">
        <f t="shared" si="24"/>
        <v>11698600</v>
      </c>
      <c r="E146" s="34">
        <f t="shared" si="24"/>
        <v>0</v>
      </c>
      <c r="F146" s="35">
        <f t="shared" si="22"/>
        <v>11698600</v>
      </c>
      <c r="G146" s="36"/>
      <c r="H146" s="37"/>
    </row>
    <row r="147" spans="1:8" ht="28.5" customHeight="1" x14ac:dyDescent="0.25">
      <c r="A147" s="38" t="str">
        <f>[1]июнь!A201</f>
        <v>Закупка товаров,работ, услуг в целях капитального ремонта государственного (муниципального) имущества</v>
      </c>
      <c r="B147" s="32" t="s">
        <v>134</v>
      </c>
      <c r="C147" s="43" t="s">
        <v>849</v>
      </c>
      <c r="D147" s="34">
        <v>11698600</v>
      </c>
      <c r="E147" s="34">
        <v>0</v>
      </c>
      <c r="F147" s="35">
        <f t="shared" si="22"/>
        <v>11698600</v>
      </c>
      <c r="G147" s="36"/>
      <c r="H147" s="37"/>
    </row>
    <row r="148" spans="1:8" ht="80.25" customHeight="1" x14ac:dyDescent="0.25">
      <c r="A148" s="38" t="s">
        <v>850</v>
      </c>
      <c r="B148" s="32" t="s">
        <v>134</v>
      </c>
      <c r="C148" s="43" t="s">
        <v>851</v>
      </c>
      <c r="D148" s="34">
        <f t="shared" ref="D148:E150" si="25">D149</f>
        <v>5168600</v>
      </c>
      <c r="E148" s="34">
        <f t="shared" si="25"/>
        <v>0</v>
      </c>
      <c r="F148" s="35">
        <f t="shared" si="22"/>
        <v>5168600</v>
      </c>
      <c r="G148" s="36"/>
      <c r="H148" s="37"/>
    </row>
    <row r="149" spans="1:8" ht="27.75" customHeight="1" x14ac:dyDescent="0.25">
      <c r="A149" s="38" t="s">
        <v>522</v>
      </c>
      <c r="B149" s="32" t="s">
        <v>134</v>
      </c>
      <c r="C149" s="43" t="s">
        <v>852</v>
      </c>
      <c r="D149" s="34">
        <f t="shared" si="25"/>
        <v>5168600</v>
      </c>
      <c r="E149" s="34">
        <f t="shared" si="25"/>
        <v>0</v>
      </c>
      <c r="F149" s="35">
        <f t="shared" si="22"/>
        <v>5168600</v>
      </c>
      <c r="G149" s="36"/>
      <c r="H149" s="37"/>
    </row>
    <row r="150" spans="1:8" ht="27" customHeight="1" x14ac:dyDescent="0.25">
      <c r="A150" s="38" t="s">
        <v>523</v>
      </c>
      <c r="B150" s="32" t="s">
        <v>134</v>
      </c>
      <c r="C150" s="43" t="s">
        <v>853</v>
      </c>
      <c r="D150" s="34">
        <f t="shared" si="25"/>
        <v>5168600</v>
      </c>
      <c r="E150" s="34">
        <f t="shared" si="25"/>
        <v>0</v>
      </c>
      <c r="F150" s="35">
        <f t="shared" si="22"/>
        <v>5168600</v>
      </c>
      <c r="G150" s="36"/>
      <c r="H150" s="37"/>
    </row>
    <row r="151" spans="1:8" ht="27" customHeight="1" x14ac:dyDescent="0.25">
      <c r="A151" s="38" t="s">
        <v>454</v>
      </c>
      <c r="B151" s="32" t="s">
        <v>134</v>
      </c>
      <c r="C151" s="43" t="s">
        <v>854</v>
      </c>
      <c r="D151" s="34">
        <f>5168600</f>
        <v>5168600</v>
      </c>
      <c r="E151" s="34">
        <v>0</v>
      </c>
      <c r="F151" s="35">
        <f t="shared" si="22"/>
        <v>5168600</v>
      </c>
      <c r="G151" s="36"/>
      <c r="H151" s="37"/>
    </row>
    <row r="152" spans="1:8" ht="16.5" customHeight="1" x14ac:dyDescent="0.25">
      <c r="A152" s="38" t="s">
        <v>553</v>
      </c>
      <c r="B152" s="32" t="s">
        <v>134</v>
      </c>
      <c r="C152" s="43" t="s">
        <v>206</v>
      </c>
      <c r="D152" s="34">
        <f t="shared" ref="D152:E158" si="26">D153</f>
        <v>330000</v>
      </c>
      <c r="E152" s="34">
        <f t="shared" si="26"/>
        <v>322460.31</v>
      </c>
      <c r="F152" s="35">
        <f t="shared" si="22"/>
        <v>7539.6900000000023</v>
      </c>
      <c r="G152" s="36"/>
      <c r="H152" s="37"/>
    </row>
    <row r="153" spans="1:8" ht="37.5" customHeight="1" x14ac:dyDescent="0.25">
      <c r="A153" s="38" t="s">
        <v>427</v>
      </c>
      <c r="B153" s="32" t="s">
        <v>134</v>
      </c>
      <c r="C153" s="43" t="s">
        <v>455</v>
      </c>
      <c r="D153" s="34">
        <f t="shared" si="26"/>
        <v>330000</v>
      </c>
      <c r="E153" s="34">
        <f t="shared" si="26"/>
        <v>322460.31</v>
      </c>
      <c r="F153" s="35">
        <f t="shared" si="22"/>
        <v>7539.6900000000023</v>
      </c>
      <c r="G153" s="36"/>
      <c r="H153" s="37"/>
    </row>
    <row r="154" spans="1:8" ht="22.5" x14ac:dyDescent="0.25">
      <c r="A154" s="38" t="s">
        <v>449</v>
      </c>
      <c r="B154" s="32" t="s">
        <v>134</v>
      </c>
      <c r="C154" s="43" t="s">
        <v>457</v>
      </c>
      <c r="D154" s="34">
        <f t="shared" si="26"/>
        <v>330000</v>
      </c>
      <c r="E154" s="34">
        <f t="shared" si="26"/>
        <v>322460.31</v>
      </c>
      <c r="F154" s="35">
        <f t="shared" si="22"/>
        <v>7539.6900000000023</v>
      </c>
      <c r="G154" s="36"/>
      <c r="H154" s="37"/>
    </row>
    <row r="155" spans="1:8" ht="33.75" x14ac:dyDescent="0.25">
      <c r="A155" s="38" t="s">
        <v>456</v>
      </c>
      <c r="B155" s="32" t="s">
        <v>134</v>
      </c>
      <c r="C155" s="43" t="s">
        <v>458</v>
      </c>
      <c r="D155" s="34">
        <f t="shared" si="26"/>
        <v>330000</v>
      </c>
      <c r="E155" s="34">
        <f t="shared" si="26"/>
        <v>322460.31</v>
      </c>
      <c r="F155" s="35">
        <f t="shared" si="22"/>
        <v>7539.6900000000023</v>
      </c>
      <c r="G155" s="36"/>
      <c r="H155" s="37"/>
    </row>
    <row r="156" spans="1:8" ht="22.5" x14ac:dyDescent="0.25">
      <c r="A156" s="38" t="s">
        <v>554</v>
      </c>
      <c r="B156" s="32" t="s">
        <v>134</v>
      </c>
      <c r="C156" s="43" t="s">
        <v>207</v>
      </c>
      <c r="D156" s="34">
        <f t="shared" si="26"/>
        <v>330000</v>
      </c>
      <c r="E156" s="34">
        <f t="shared" si="26"/>
        <v>322460.31</v>
      </c>
      <c r="F156" s="35">
        <f t="shared" si="22"/>
        <v>7539.6900000000023</v>
      </c>
      <c r="G156" s="36"/>
      <c r="H156" s="37"/>
    </row>
    <row r="157" spans="1:8" ht="22.5" x14ac:dyDescent="0.25">
      <c r="A157" s="38" t="s">
        <v>522</v>
      </c>
      <c r="B157" s="32" t="s">
        <v>134</v>
      </c>
      <c r="C157" s="43" t="s">
        <v>459</v>
      </c>
      <c r="D157" s="34">
        <f t="shared" si="26"/>
        <v>330000</v>
      </c>
      <c r="E157" s="34">
        <f t="shared" si="26"/>
        <v>322460.31</v>
      </c>
      <c r="F157" s="35">
        <f t="shared" si="22"/>
        <v>7539.6900000000023</v>
      </c>
      <c r="G157" s="36"/>
      <c r="H157" s="37"/>
    </row>
    <row r="158" spans="1:8" ht="25.5" customHeight="1" x14ac:dyDescent="0.25">
      <c r="A158" s="38" t="s">
        <v>523</v>
      </c>
      <c r="B158" s="32" t="s">
        <v>134</v>
      </c>
      <c r="C158" s="43" t="s">
        <v>460</v>
      </c>
      <c r="D158" s="34">
        <f t="shared" si="26"/>
        <v>330000</v>
      </c>
      <c r="E158" s="34">
        <f t="shared" si="26"/>
        <v>322460.31</v>
      </c>
      <c r="F158" s="35">
        <f t="shared" si="22"/>
        <v>7539.6900000000023</v>
      </c>
      <c r="G158" s="36"/>
      <c r="H158" s="37"/>
    </row>
    <row r="159" spans="1:8" ht="25.5" customHeight="1" x14ac:dyDescent="0.25">
      <c r="A159" s="38" t="s">
        <v>524</v>
      </c>
      <c r="B159" s="32" t="s">
        <v>134</v>
      </c>
      <c r="C159" s="43" t="s">
        <v>461</v>
      </c>
      <c r="D159" s="34">
        <f>330000</f>
        <v>330000</v>
      </c>
      <c r="E159" s="34">
        <v>322460.31</v>
      </c>
      <c r="F159" s="35">
        <f t="shared" si="22"/>
        <v>7539.6900000000023</v>
      </c>
      <c r="G159" s="36"/>
      <c r="H159" s="37"/>
    </row>
    <row r="160" spans="1:8" ht="15" customHeight="1" x14ac:dyDescent="0.25">
      <c r="A160" s="38" t="s">
        <v>555</v>
      </c>
      <c r="B160" s="32" t="s">
        <v>134</v>
      </c>
      <c r="C160" s="43" t="s">
        <v>208</v>
      </c>
      <c r="D160" s="34">
        <f>D161</f>
        <v>250000</v>
      </c>
      <c r="E160" s="34">
        <f>E161</f>
        <v>125000</v>
      </c>
      <c r="F160" s="35">
        <f t="shared" si="22"/>
        <v>125000</v>
      </c>
      <c r="G160" s="36"/>
      <c r="H160" s="37"/>
    </row>
    <row r="161" spans="1:8" ht="35.25" customHeight="1" x14ac:dyDescent="0.25">
      <c r="A161" s="38" t="s">
        <v>462</v>
      </c>
      <c r="B161" s="32" t="s">
        <v>134</v>
      </c>
      <c r="C161" s="43" t="s">
        <v>465</v>
      </c>
      <c r="D161" s="34">
        <f>D162</f>
        <v>250000</v>
      </c>
      <c r="E161" s="34">
        <f>E162</f>
        <v>125000</v>
      </c>
      <c r="F161" s="35">
        <f t="shared" si="22"/>
        <v>125000</v>
      </c>
      <c r="G161" s="36"/>
      <c r="H161" s="37"/>
    </row>
    <row r="162" spans="1:8" ht="17.25" customHeight="1" x14ac:dyDescent="0.25">
      <c r="A162" s="41" t="s">
        <v>463</v>
      </c>
      <c r="B162" s="32" t="s">
        <v>134</v>
      </c>
      <c r="C162" s="43" t="s">
        <v>466</v>
      </c>
      <c r="D162" s="34">
        <f t="shared" ref="D162:E166" si="27">D163</f>
        <v>250000</v>
      </c>
      <c r="E162" s="34">
        <f t="shared" si="27"/>
        <v>125000</v>
      </c>
      <c r="F162" s="35">
        <f t="shared" si="22"/>
        <v>125000</v>
      </c>
      <c r="G162" s="36"/>
      <c r="H162" s="37"/>
    </row>
    <row r="163" spans="1:8" ht="26.25" customHeight="1" x14ac:dyDescent="0.25">
      <c r="A163" s="41" t="s">
        <v>464</v>
      </c>
      <c r="B163" s="32" t="s">
        <v>134</v>
      </c>
      <c r="C163" s="43" t="s">
        <v>467</v>
      </c>
      <c r="D163" s="34">
        <f t="shared" si="27"/>
        <v>250000</v>
      </c>
      <c r="E163" s="34">
        <f t="shared" si="27"/>
        <v>125000</v>
      </c>
      <c r="F163" s="35">
        <f t="shared" si="22"/>
        <v>125000</v>
      </c>
      <c r="G163" s="36"/>
      <c r="H163" s="37"/>
    </row>
    <row r="164" spans="1:8" ht="46.5" customHeight="1" x14ac:dyDescent="0.25">
      <c r="A164" s="38" t="s">
        <v>527</v>
      </c>
      <c r="B164" s="32" t="s">
        <v>134</v>
      </c>
      <c r="C164" s="43" t="s">
        <v>832</v>
      </c>
      <c r="D164" s="34">
        <f t="shared" si="27"/>
        <v>250000</v>
      </c>
      <c r="E164" s="34">
        <f t="shared" si="27"/>
        <v>125000</v>
      </c>
      <c r="F164" s="35">
        <f t="shared" si="22"/>
        <v>125000</v>
      </c>
      <c r="G164" s="36"/>
      <c r="H164" s="37"/>
    </row>
    <row r="165" spans="1:8" ht="26.25" customHeight="1" x14ac:dyDescent="0.25">
      <c r="A165" s="38" t="s">
        <v>522</v>
      </c>
      <c r="B165" s="32" t="s">
        <v>134</v>
      </c>
      <c r="C165" s="43" t="s">
        <v>833</v>
      </c>
      <c r="D165" s="34">
        <f t="shared" si="27"/>
        <v>250000</v>
      </c>
      <c r="E165" s="34">
        <f t="shared" si="27"/>
        <v>125000</v>
      </c>
      <c r="F165" s="35">
        <f t="shared" si="22"/>
        <v>125000</v>
      </c>
      <c r="G165" s="36"/>
      <c r="H165" s="37"/>
    </row>
    <row r="166" spans="1:8" ht="24" customHeight="1" x14ac:dyDescent="0.25">
      <c r="A166" s="38" t="s">
        <v>523</v>
      </c>
      <c r="B166" s="32" t="s">
        <v>134</v>
      </c>
      <c r="C166" s="43" t="s">
        <v>834</v>
      </c>
      <c r="D166" s="34">
        <f t="shared" si="27"/>
        <v>250000</v>
      </c>
      <c r="E166" s="34">
        <f t="shared" si="27"/>
        <v>125000</v>
      </c>
      <c r="F166" s="35">
        <f t="shared" si="22"/>
        <v>125000</v>
      </c>
      <c r="G166" s="36"/>
      <c r="H166" s="37"/>
    </row>
    <row r="167" spans="1:8" ht="25.5" customHeight="1" x14ac:dyDescent="0.25">
      <c r="A167" s="38" t="s">
        <v>524</v>
      </c>
      <c r="B167" s="32" t="s">
        <v>134</v>
      </c>
      <c r="C167" s="43" t="s">
        <v>835</v>
      </c>
      <c r="D167" s="34">
        <f>250000</f>
        <v>250000</v>
      </c>
      <c r="E167" s="34">
        <v>125000</v>
      </c>
      <c r="F167" s="35">
        <f t="shared" si="22"/>
        <v>125000</v>
      </c>
      <c r="G167" s="36"/>
      <c r="H167" s="37"/>
    </row>
    <row r="168" spans="1:8" ht="15" customHeight="1" x14ac:dyDescent="0.25">
      <c r="A168" s="38" t="s">
        <v>556</v>
      </c>
      <c r="B168" s="32" t="s">
        <v>134</v>
      </c>
      <c r="C168" s="43" t="s">
        <v>209</v>
      </c>
      <c r="D168" s="34">
        <f>D169</f>
        <v>58567085</v>
      </c>
      <c r="E168" s="34">
        <f>E169</f>
        <v>30283847.229999997</v>
      </c>
      <c r="F168" s="35">
        <f t="shared" si="22"/>
        <v>28283237.770000003</v>
      </c>
      <c r="G168" s="36"/>
      <c r="H168" s="37"/>
    </row>
    <row r="169" spans="1:8" ht="37.5" customHeight="1" x14ac:dyDescent="0.25">
      <c r="A169" s="38" t="s">
        <v>462</v>
      </c>
      <c r="B169" s="32" t="s">
        <v>134</v>
      </c>
      <c r="C169" s="43" t="s">
        <v>468</v>
      </c>
      <c r="D169" s="34">
        <f>D170+D194</f>
        <v>58567085</v>
      </c>
      <c r="E169" s="34">
        <f>E170+E194</f>
        <v>30283847.229999997</v>
      </c>
      <c r="F169" s="35">
        <f t="shared" si="22"/>
        <v>28283237.770000003</v>
      </c>
      <c r="G169" s="36"/>
      <c r="H169" s="37"/>
    </row>
    <row r="170" spans="1:8" ht="20.25" customHeight="1" x14ac:dyDescent="0.25">
      <c r="A170" s="38" t="s">
        <v>469</v>
      </c>
      <c r="B170" s="32" t="s">
        <v>134</v>
      </c>
      <c r="C170" s="43" t="s">
        <v>470</v>
      </c>
      <c r="D170" s="34">
        <f>D171+D184+D189</f>
        <v>55304585</v>
      </c>
      <c r="E170" s="34">
        <f>E171+E184+E189</f>
        <v>29208095.369999997</v>
      </c>
      <c r="F170" s="35">
        <f t="shared" si="22"/>
        <v>26096489.630000003</v>
      </c>
      <c r="G170" s="36"/>
      <c r="H170" s="37"/>
    </row>
    <row r="171" spans="1:8" ht="45" x14ac:dyDescent="0.25">
      <c r="A171" s="38" t="s">
        <v>471</v>
      </c>
      <c r="B171" s="32" t="s">
        <v>134</v>
      </c>
      <c r="C171" s="43" t="s">
        <v>472</v>
      </c>
      <c r="D171" s="34">
        <f>D172+D176+D180</f>
        <v>16744778</v>
      </c>
      <c r="E171" s="34">
        <f>E172+E176+E180</f>
        <v>13146227.26</v>
      </c>
      <c r="F171" s="35">
        <f t="shared" si="22"/>
        <v>3598550.74</v>
      </c>
      <c r="G171" s="36"/>
      <c r="H171" s="37"/>
    </row>
    <row r="172" spans="1:8" ht="46.5" customHeight="1" x14ac:dyDescent="0.25">
      <c r="A172" s="38" t="s">
        <v>527</v>
      </c>
      <c r="B172" s="32" t="s">
        <v>134</v>
      </c>
      <c r="C172" s="43" t="s">
        <v>210</v>
      </c>
      <c r="D172" s="34">
        <f t="shared" ref="D172:E174" si="28">D173</f>
        <v>13171775</v>
      </c>
      <c r="E172" s="34">
        <f t="shared" si="28"/>
        <v>9591089.2799999993</v>
      </c>
      <c r="F172" s="35">
        <f t="shared" si="22"/>
        <v>3580685.7200000007</v>
      </c>
      <c r="G172" s="36"/>
      <c r="H172" s="37"/>
    </row>
    <row r="173" spans="1:8" ht="27" customHeight="1" x14ac:dyDescent="0.25">
      <c r="A173" s="38" t="s">
        <v>522</v>
      </c>
      <c r="B173" s="32" t="s">
        <v>134</v>
      </c>
      <c r="C173" s="43" t="s">
        <v>211</v>
      </c>
      <c r="D173" s="34">
        <f t="shared" si="28"/>
        <v>13171775</v>
      </c>
      <c r="E173" s="34">
        <f t="shared" si="28"/>
        <v>9591089.2799999993</v>
      </c>
      <c r="F173" s="35">
        <f t="shared" si="22"/>
        <v>3580685.7200000007</v>
      </c>
      <c r="G173" s="36"/>
      <c r="H173" s="37"/>
    </row>
    <row r="174" spans="1:8" ht="30.75" customHeight="1" x14ac:dyDescent="0.25">
      <c r="A174" s="38" t="s">
        <v>523</v>
      </c>
      <c r="B174" s="32" t="s">
        <v>134</v>
      </c>
      <c r="C174" s="43" t="s">
        <v>212</v>
      </c>
      <c r="D174" s="34">
        <f t="shared" si="28"/>
        <v>13171775</v>
      </c>
      <c r="E174" s="34">
        <f t="shared" si="28"/>
        <v>9591089.2799999993</v>
      </c>
      <c r="F174" s="35">
        <f t="shared" si="22"/>
        <v>3580685.7200000007</v>
      </c>
      <c r="G174" s="36"/>
      <c r="H174" s="37"/>
    </row>
    <row r="175" spans="1:8" ht="23.25" customHeight="1" x14ac:dyDescent="0.25">
      <c r="A175" s="38" t="s">
        <v>524</v>
      </c>
      <c r="B175" s="32" t="s">
        <v>134</v>
      </c>
      <c r="C175" s="43" t="s">
        <v>213</v>
      </c>
      <c r="D175" s="34">
        <f>13171775</f>
        <v>13171775</v>
      </c>
      <c r="E175" s="34">
        <v>9591089.2799999993</v>
      </c>
      <c r="F175" s="35">
        <f t="shared" si="22"/>
        <v>3580685.7200000007</v>
      </c>
      <c r="G175" s="36"/>
      <c r="H175" s="37"/>
    </row>
    <row r="176" spans="1:8" ht="27" customHeight="1" x14ac:dyDescent="0.25">
      <c r="A176" s="38" t="s">
        <v>557</v>
      </c>
      <c r="B176" s="32" t="s">
        <v>134</v>
      </c>
      <c r="C176" s="43" t="s">
        <v>214</v>
      </c>
      <c r="D176" s="34">
        <f t="shared" ref="D176:E178" si="29">D177</f>
        <v>2884300</v>
      </c>
      <c r="E176" s="34">
        <f t="shared" si="29"/>
        <v>2866434.98</v>
      </c>
      <c r="F176" s="35">
        <f t="shared" si="22"/>
        <v>17865.020000000019</v>
      </c>
      <c r="G176" s="36"/>
      <c r="H176" s="37"/>
    </row>
    <row r="177" spans="1:8" ht="24.75" customHeight="1" x14ac:dyDescent="0.25">
      <c r="A177" s="38" t="s">
        <v>522</v>
      </c>
      <c r="B177" s="32" t="s">
        <v>134</v>
      </c>
      <c r="C177" s="43" t="s">
        <v>473</v>
      </c>
      <c r="D177" s="34">
        <f t="shared" si="29"/>
        <v>2884300</v>
      </c>
      <c r="E177" s="34">
        <f t="shared" si="29"/>
        <v>2866434.98</v>
      </c>
      <c r="F177" s="35">
        <f t="shared" si="22"/>
        <v>17865.020000000019</v>
      </c>
      <c r="G177" s="36"/>
      <c r="H177" s="37"/>
    </row>
    <row r="178" spans="1:8" ht="26.25" customHeight="1" x14ac:dyDescent="0.25">
      <c r="A178" s="38" t="s">
        <v>523</v>
      </c>
      <c r="B178" s="32" t="s">
        <v>134</v>
      </c>
      <c r="C178" s="43" t="s">
        <v>474</v>
      </c>
      <c r="D178" s="34">
        <f t="shared" si="29"/>
        <v>2884300</v>
      </c>
      <c r="E178" s="34">
        <f t="shared" si="29"/>
        <v>2866434.98</v>
      </c>
      <c r="F178" s="35">
        <f t="shared" si="22"/>
        <v>17865.020000000019</v>
      </c>
      <c r="G178" s="36"/>
      <c r="H178" s="37"/>
    </row>
    <row r="179" spans="1:8" ht="21.75" customHeight="1" x14ac:dyDescent="0.25">
      <c r="A179" s="38" t="s">
        <v>524</v>
      </c>
      <c r="B179" s="32" t="s">
        <v>134</v>
      </c>
      <c r="C179" s="43" t="s">
        <v>475</v>
      </c>
      <c r="D179" s="34">
        <v>2884300</v>
      </c>
      <c r="E179" s="34">
        <v>2866434.98</v>
      </c>
      <c r="F179" s="35">
        <f t="shared" si="22"/>
        <v>17865.020000000019</v>
      </c>
      <c r="G179" s="36"/>
      <c r="H179" s="37"/>
    </row>
    <row r="180" spans="1:8" ht="30.75" customHeight="1" x14ac:dyDescent="0.25">
      <c r="A180" s="38" t="s">
        <v>558</v>
      </c>
      <c r="B180" s="32" t="s">
        <v>134</v>
      </c>
      <c r="C180" s="43" t="s">
        <v>215</v>
      </c>
      <c r="D180" s="34">
        <f t="shared" ref="D180:E182" si="30">D181</f>
        <v>688703</v>
      </c>
      <c r="E180" s="34">
        <f t="shared" si="30"/>
        <v>688703</v>
      </c>
      <c r="F180" s="35">
        <f t="shared" si="22"/>
        <v>0</v>
      </c>
      <c r="G180" s="36"/>
      <c r="H180" s="37"/>
    </row>
    <row r="181" spans="1:8" ht="27" customHeight="1" x14ac:dyDescent="0.25">
      <c r="A181" s="38" t="s">
        <v>522</v>
      </c>
      <c r="B181" s="32" t="s">
        <v>134</v>
      </c>
      <c r="C181" s="43" t="s">
        <v>476</v>
      </c>
      <c r="D181" s="34">
        <f t="shared" si="30"/>
        <v>688703</v>
      </c>
      <c r="E181" s="34">
        <f t="shared" si="30"/>
        <v>688703</v>
      </c>
      <c r="F181" s="35">
        <f t="shared" si="22"/>
        <v>0</v>
      </c>
      <c r="G181" s="36"/>
      <c r="H181" s="37"/>
    </row>
    <row r="182" spans="1:8" ht="25.5" customHeight="1" x14ac:dyDescent="0.25">
      <c r="A182" s="38" t="s">
        <v>523</v>
      </c>
      <c r="B182" s="32" t="s">
        <v>134</v>
      </c>
      <c r="C182" s="43" t="s">
        <v>477</v>
      </c>
      <c r="D182" s="34">
        <f t="shared" si="30"/>
        <v>688703</v>
      </c>
      <c r="E182" s="34">
        <f t="shared" si="30"/>
        <v>688703</v>
      </c>
      <c r="F182" s="35">
        <f t="shared" si="22"/>
        <v>0</v>
      </c>
      <c r="G182" s="36"/>
      <c r="H182" s="37"/>
    </row>
    <row r="183" spans="1:8" ht="25.5" customHeight="1" x14ac:dyDescent="0.25">
      <c r="A183" s="38" t="s">
        <v>524</v>
      </c>
      <c r="B183" s="32" t="s">
        <v>134</v>
      </c>
      <c r="C183" s="43" t="s">
        <v>478</v>
      </c>
      <c r="D183" s="34">
        <f>688703</f>
        <v>688703</v>
      </c>
      <c r="E183" s="34">
        <v>688703</v>
      </c>
      <c r="F183" s="35">
        <f t="shared" si="22"/>
        <v>0</v>
      </c>
      <c r="G183" s="36"/>
      <c r="H183" s="37"/>
    </row>
    <row r="184" spans="1:8" ht="48" customHeight="1" x14ac:dyDescent="0.25">
      <c r="A184" s="38" t="s">
        <v>479</v>
      </c>
      <c r="B184" s="32" t="s">
        <v>134</v>
      </c>
      <c r="C184" s="43" t="s">
        <v>480</v>
      </c>
      <c r="D184" s="34">
        <f t="shared" ref="D184:E186" si="31">D185</f>
        <v>37559807</v>
      </c>
      <c r="E184" s="34">
        <f t="shared" si="31"/>
        <v>16061868.109999999</v>
      </c>
      <c r="F184" s="35">
        <f t="shared" si="22"/>
        <v>21497938.890000001</v>
      </c>
      <c r="G184" s="36"/>
      <c r="H184" s="37"/>
    </row>
    <row r="185" spans="1:8" ht="43.5" customHeight="1" x14ac:dyDescent="0.25">
      <c r="A185" s="38" t="s">
        <v>527</v>
      </c>
      <c r="B185" s="32" t="s">
        <v>134</v>
      </c>
      <c r="C185" s="43" t="s">
        <v>216</v>
      </c>
      <c r="D185" s="34">
        <f t="shared" si="31"/>
        <v>37559807</v>
      </c>
      <c r="E185" s="34">
        <f t="shared" si="31"/>
        <v>16061868.109999999</v>
      </c>
      <c r="F185" s="35">
        <f t="shared" si="22"/>
        <v>21497938.890000001</v>
      </c>
      <c r="G185" s="36"/>
      <c r="H185" s="37"/>
    </row>
    <row r="186" spans="1:8" ht="27" customHeight="1" x14ac:dyDescent="0.25">
      <c r="A186" s="38" t="s">
        <v>522</v>
      </c>
      <c r="B186" s="32" t="s">
        <v>134</v>
      </c>
      <c r="C186" s="43" t="s">
        <v>481</v>
      </c>
      <c r="D186" s="34">
        <f t="shared" si="31"/>
        <v>37559807</v>
      </c>
      <c r="E186" s="34">
        <f t="shared" si="31"/>
        <v>16061868.109999999</v>
      </c>
      <c r="F186" s="35">
        <f t="shared" si="22"/>
        <v>21497938.890000001</v>
      </c>
      <c r="G186" s="36"/>
      <c r="H186" s="37"/>
    </row>
    <row r="187" spans="1:8" ht="24.75" customHeight="1" x14ac:dyDescent="0.25">
      <c r="A187" s="38" t="s">
        <v>523</v>
      </c>
      <c r="B187" s="32" t="s">
        <v>134</v>
      </c>
      <c r="C187" s="43" t="s">
        <v>482</v>
      </c>
      <c r="D187" s="34">
        <f>D188</f>
        <v>37559807</v>
      </c>
      <c r="E187" s="34">
        <f>E188</f>
        <v>16061868.109999999</v>
      </c>
      <c r="F187" s="35">
        <f t="shared" si="22"/>
        <v>21497938.890000001</v>
      </c>
      <c r="G187" s="36"/>
      <c r="H187" s="37"/>
    </row>
    <row r="188" spans="1:8" ht="24" customHeight="1" x14ac:dyDescent="0.25">
      <c r="A188" s="38" t="s">
        <v>524</v>
      </c>
      <c r="B188" s="32" t="s">
        <v>134</v>
      </c>
      <c r="C188" s="43" t="s">
        <v>483</v>
      </c>
      <c r="D188" s="34">
        <f>37559807</f>
        <v>37559807</v>
      </c>
      <c r="E188" s="34">
        <v>16061868.109999999</v>
      </c>
      <c r="F188" s="35">
        <f t="shared" si="22"/>
        <v>21497938.890000001</v>
      </c>
      <c r="G188" s="36"/>
      <c r="H188" s="37"/>
    </row>
    <row r="189" spans="1:8" ht="48.75" customHeight="1" x14ac:dyDescent="0.25">
      <c r="A189" s="38" t="s">
        <v>559</v>
      </c>
      <c r="B189" s="32" t="s">
        <v>134</v>
      </c>
      <c r="C189" s="43" t="s">
        <v>681</v>
      </c>
      <c r="D189" s="34">
        <f t="shared" ref="D189:E192" si="32">D190</f>
        <v>1000000</v>
      </c>
      <c r="E189" s="34">
        <f t="shared" si="32"/>
        <v>0</v>
      </c>
      <c r="F189" s="35">
        <f t="shared" si="22"/>
        <v>1000000</v>
      </c>
      <c r="G189" s="36"/>
      <c r="H189" s="37"/>
    </row>
    <row r="190" spans="1:8" ht="44.25" customHeight="1" x14ac:dyDescent="0.25">
      <c r="A190" s="38" t="s">
        <v>527</v>
      </c>
      <c r="B190" s="32" t="s">
        <v>134</v>
      </c>
      <c r="C190" s="43" t="s">
        <v>217</v>
      </c>
      <c r="D190" s="34">
        <f t="shared" si="32"/>
        <v>1000000</v>
      </c>
      <c r="E190" s="34">
        <f t="shared" si="32"/>
        <v>0</v>
      </c>
      <c r="F190" s="35">
        <f t="shared" si="22"/>
        <v>1000000</v>
      </c>
      <c r="G190" s="36"/>
      <c r="H190" s="37"/>
    </row>
    <row r="191" spans="1:8" ht="26.25" customHeight="1" x14ac:dyDescent="0.25">
      <c r="A191" s="38" t="s">
        <v>522</v>
      </c>
      <c r="B191" s="32" t="s">
        <v>134</v>
      </c>
      <c r="C191" s="43" t="s">
        <v>484</v>
      </c>
      <c r="D191" s="34">
        <f t="shared" si="32"/>
        <v>1000000</v>
      </c>
      <c r="E191" s="34">
        <f t="shared" si="32"/>
        <v>0</v>
      </c>
      <c r="F191" s="35">
        <f t="shared" si="22"/>
        <v>1000000</v>
      </c>
      <c r="G191" s="36"/>
      <c r="H191" s="37"/>
    </row>
    <row r="192" spans="1:8" ht="26.25" customHeight="1" x14ac:dyDescent="0.25">
      <c r="A192" s="38" t="s">
        <v>523</v>
      </c>
      <c r="B192" s="32" t="s">
        <v>134</v>
      </c>
      <c r="C192" s="43" t="s">
        <v>485</v>
      </c>
      <c r="D192" s="34">
        <f t="shared" si="32"/>
        <v>1000000</v>
      </c>
      <c r="E192" s="34">
        <f t="shared" si="32"/>
        <v>0</v>
      </c>
      <c r="F192" s="35">
        <f t="shared" si="22"/>
        <v>1000000</v>
      </c>
      <c r="G192" s="36"/>
      <c r="H192" s="37"/>
    </row>
    <row r="193" spans="1:8" ht="27.75" customHeight="1" x14ac:dyDescent="0.25">
      <c r="A193" s="38" t="s">
        <v>524</v>
      </c>
      <c r="B193" s="32" t="s">
        <v>134</v>
      </c>
      <c r="C193" s="43" t="s">
        <v>486</v>
      </c>
      <c r="D193" s="34">
        <f>1000000</f>
        <v>1000000</v>
      </c>
      <c r="E193" s="34">
        <v>0</v>
      </c>
      <c r="F193" s="35">
        <f t="shared" si="22"/>
        <v>1000000</v>
      </c>
      <c r="G193" s="36"/>
      <c r="H193" s="37"/>
    </row>
    <row r="194" spans="1:8" ht="27.75" customHeight="1" x14ac:dyDescent="0.25">
      <c r="A194" s="38" t="s">
        <v>487</v>
      </c>
      <c r="B194" s="32" t="s">
        <v>134</v>
      </c>
      <c r="C194" s="43" t="s">
        <v>489</v>
      </c>
      <c r="D194" s="34">
        <f>D195+D200</f>
        <v>3262500</v>
      </c>
      <c r="E194" s="34">
        <f>E195+E200</f>
        <v>1075751.8600000001</v>
      </c>
      <c r="F194" s="35">
        <f t="shared" si="22"/>
        <v>2186748.1399999997</v>
      </c>
      <c r="G194" s="36"/>
      <c r="H194" s="37"/>
    </row>
    <row r="195" spans="1:8" ht="27.75" customHeight="1" x14ac:dyDescent="0.25">
      <c r="A195" s="38" t="s">
        <v>488</v>
      </c>
      <c r="B195" s="32" t="s">
        <v>134</v>
      </c>
      <c r="C195" s="43" t="s">
        <v>490</v>
      </c>
      <c r="D195" s="34">
        <f>D196</f>
        <v>1175500</v>
      </c>
      <c r="E195" s="34">
        <f>E196</f>
        <v>1075751.8600000001</v>
      </c>
      <c r="F195" s="35">
        <f t="shared" si="22"/>
        <v>99748.139999999898</v>
      </c>
      <c r="G195" s="36"/>
      <c r="H195" s="37"/>
    </row>
    <row r="196" spans="1:8" ht="27.75" customHeight="1" x14ac:dyDescent="0.25">
      <c r="A196" s="38" t="s">
        <v>560</v>
      </c>
      <c r="B196" s="32" t="s">
        <v>134</v>
      </c>
      <c r="C196" s="43" t="s">
        <v>218</v>
      </c>
      <c r="D196" s="34">
        <f t="shared" ref="D196:E198" si="33">D197</f>
        <v>1175500</v>
      </c>
      <c r="E196" s="34">
        <f t="shared" si="33"/>
        <v>1075751.8600000001</v>
      </c>
      <c r="F196" s="35">
        <f t="shared" si="22"/>
        <v>99748.139999999898</v>
      </c>
      <c r="G196" s="36"/>
      <c r="H196" s="37"/>
    </row>
    <row r="197" spans="1:8" ht="27.75" customHeight="1" x14ac:dyDescent="0.25">
      <c r="A197" s="38" t="s">
        <v>522</v>
      </c>
      <c r="B197" s="32" t="s">
        <v>134</v>
      </c>
      <c r="C197" s="43" t="s">
        <v>491</v>
      </c>
      <c r="D197" s="34">
        <f t="shared" si="33"/>
        <v>1175500</v>
      </c>
      <c r="E197" s="34">
        <f t="shared" si="33"/>
        <v>1075751.8600000001</v>
      </c>
      <c r="F197" s="35">
        <f t="shared" si="22"/>
        <v>99748.139999999898</v>
      </c>
      <c r="G197" s="36"/>
      <c r="H197" s="37"/>
    </row>
    <row r="198" spans="1:8" ht="30" customHeight="1" x14ac:dyDescent="0.25">
      <c r="A198" s="38" t="s">
        <v>523</v>
      </c>
      <c r="B198" s="32" t="s">
        <v>134</v>
      </c>
      <c r="C198" s="43" t="s">
        <v>492</v>
      </c>
      <c r="D198" s="34">
        <f t="shared" si="33"/>
        <v>1175500</v>
      </c>
      <c r="E198" s="34">
        <f t="shared" si="33"/>
        <v>1075751.8600000001</v>
      </c>
      <c r="F198" s="35">
        <f t="shared" si="22"/>
        <v>99748.139999999898</v>
      </c>
      <c r="G198" s="36"/>
      <c r="H198" s="37"/>
    </row>
    <row r="199" spans="1:8" ht="30" customHeight="1" x14ac:dyDescent="0.25">
      <c r="A199" s="38" t="s">
        <v>524</v>
      </c>
      <c r="B199" s="32" t="s">
        <v>134</v>
      </c>
      <c r="C199" s="43" t="s">
        <v>493</v>
      </c>
      <c r="D199" s="34">
        <f>1175500</f>
        <v>1175500</v>
      </c>
      <c r="E199" s="34">
        <v>1075751.8600000001</v>
      </c>
      <c r="F199" s="35">
        <f t="shared" si="22"/>
        <v>99748.139999999898</v>
      </c>
      <c r="G199" s="36"/>
      <c r="H199" s="37"/>
    </row>
    <row r="200" spans="1:8" ht="24" customHeight="1" x14ac:dyDescent="0.25">
      <c r="A200" s="38" t="s">
        <v>494</v>
      </c>
      <c r="B200" s="32" t="s">
        <v>134</v>
      </c>
      <c r="C200" s="43" t="s">
        <v>495</v>
      </c>
      <c r="D200" s="34">
        <f t="shared" ref="D200:E203" si="34">D201</f>
        <v>2087000</v>
      </c>
      <c r="E200" s="34">
        <f t="shared" si="34"/>
        <v>0</v>
      </c>
      <c r="F200" s="35">
        <f t="shared" si="22"/>
        <v>2087000</v>
      </c>
      <c r="G200" s="36"/>
      <c r="H200" s="37"/>
    </row>
    <row r="201" spans="1:8" ht="44.25" customHeight="1" x14ac:dyDescent="0.25">
      <c r="A201" s="38" t="s">
        <v>527</v>
      </c>
      <c r="B201" s="32" t="s">
        <v>134</v>
      </c>
      <c r="C201" s="43" t="s">
        <v>219</v>
      </c>
      <c r="D201" s="34">
        <f t="shared" si="34"/>
        <v>2087000</v>
      </c>
      <c r="E201" s="34">
        <f t="shared" si="34"/>
        <v>0</v>
      </c>
      <c r="F201" s="35">
        <f t="shared" si="22"/>
        <v>2087000</v>
      </c>
      <c r="G201" s="36"/>
      <c r="H201" s="37"/>
    </row>
    <row r="202" spans="1:8" ht="24" customHeight="1" x14ac:dyDescent="0.25">
      <c r="A202" s="38" t="s">
        <v>522</v>
      </c>
      <c r="B202" s="32" t="s">
        <v>134</v>
      </c>
      <c r="C202" s="43" t="s">
        <v>496</v>
      </c>
      <c r="D202" s="34">
        <f t="shared" si="34"/>
        <v>2087000</v>
      </c>
      <c r="E202" s="34">
        <f t="shared" si="34"/>
        <v>0</v>
      </c>
      <c r="F202" s="35">
        <f t="shared" si="22"/>
        <v>2087000</v>
      </c>
      <c r="G202" s="36"/>
      <c r="H202" s="37"/>
    </row>
    <row r="203" spans="1:8" ht="24" customHeight="1" x14ac:dyDescent="0.25">
      <c r="A203" s="38" t="s">
        <v>523</v>
      </c>
      <c r="B203" s="32" t="s">
        <v>134</v>
      </c>
      <c r="C203" s="43" t="s">
        <v>497</v>
      </c>
      <c r="D203" s="34">
        <f t="shared" si="34"/>
        <v>2087000</v>
      </c>
      <c r="E203" s="34">
        <f t="shared" si="34"/>
        <v>0</v>
      </c>
      <c r="F203" s="35">
        <f t="shared" ref="F203:F266" si="35">D203-E203</f>
        <v>2087000</v>
      </c>
      <c r="G203" s="36"/>
      <c r="H203" s="37"/>
    </row>
    <row r="204" spans="1:8" ht="23.25" customHeight="1" x14ac:dyDescent="0.25">
      <c r="A204" s="38" t="s">
        <v>524</v>
      </c>
      <c r="B204" s="32" t="s">
        <v>134</v>
      </c>
      <c r="C204" s="43" t="s">
        <v>498</v>
      </c>
      <c r="D204" s="34">
        <f>2087000</f>
        <v>2087000</v>
      </c>
      <c r="E204" s="34">
        <v>0</v>
      </c>
      <c r="F204" s="35">
        <f t="shared" si="35"/>
        <v>2087000</v>
      </c>
      <c r="G204" s="36"/>
      <c r="H204" s="37"/>
    </row>
    <row r="205" spans="1:8" ht="16.5" customHeight="1" x14ac:dyDescent="0.25">
      <c r="A205" s="38" t="s">
        <v>561</v>
      </c>
      <c r="B205" s="32" t="s">
        <v>134</v>
      </c>
      <c r="C205" s="43" t="s">
        <v>220</v>
      </c>
      <c r="D205" s="34">
        <f>D206+D229+D234</f>
        <v>2154000.36</v>
      </c>
      <c r="E205" s="34">
        <f>E206+E229+E234</f>
        <v>287305</v>
      </c>
      <c r="F205" s="35">
        <f t="shared" si="35"/>
        <v>1866695.3599999999</v>
      </c>
      <c r="G205" s="36"/>
      <c r="H205" s="37"/>
    </row>
    <row r="206" spans="1:8" ht="24" customHeight="1" x14ac:dyDescent="0.25">
      <c r="A206" s="38" t="s">
        <v>382</v>
      </c>
      <c r="B206" s="32" t="s">
        <v>134</v>
      </c>
      <c r="C206" s="43" t="s">
        <v>501</v>
      </c>
      <c r="D206" s="34">
        <f>D207</f>
        <v>1615000</v>
      </c>
      <c r="E206" s="34">
        <f>E207</f>
        <v>164092</v>
      </c>
      <c r="F206" s="35">
        <f t="shared" si="35"/>
        <v>1450908</v>
      </c>
      <c r="G206" s="36"/>
      <c r="H206" s="37"/>
    </row>
    <row r="207" spans="1:8" ht="27" customHeight="1" x14ac:dyDescent="0.25">
      <c r="A207" s="38" t="s">
        <v>499</v>
      </c>
      <c r="B207" s="32" t="s">
        <v>134</v>
      </c>
      <c r="C207" s="43" t="s">
        <v>502</v>
      </c>
      <c r="D207" s="34">
        <f>D208</f>
        <v>1615000</v>
      </c>
      <c r="E207" s="34">
        <f>E208</f>
        <v>164092</v>
      </c>
      <c r="F207" s="35">
        <f t="shared" si="35"/>
        <v>1450908</v>
      </c>
      <c r="G207" s="36"/>
      <c r="H207" s="37"/>
    </row>
    <row r="208" spans="1:8" ht="27" customHeight="1" x14ac:dyDescent="0.25">
      <c r="A208" s="38" t="s">
        <v>500</v>
      </c>
      <c r="B208" s="32" t="s">
        <v>134</v>
      </c>
      <c r="C208" s="43" t="s">
        <v>503</v>
      </c>
      <c r="D208" s="34">
        <f>D209+D213+D217+D221+D225</f>
        <v>1615000</v>
      </c>
      <c r="E208" s="34">
        <f>E209+E213+E217+E221+E225</f>
        <v>164092</v>
      </c>
      <c r="F208" s="35">
        <f t="shared" si="35"/>
        <v>1450908</v>
      </c>
      <c r="G208" s="36"/>
      <c r="H208" s="37"/>
    </row>
    <row r="209" spans="1:8" ht="35.25" customHeight="1" x14ac:dyDescent="0.25">
      <c r="A209" s="38" t="s">
        <v>562</v>
      </c>
      <c r="B209" s="32" t="s">
        <v>134</v>
      </c>
      <c r="C209" s="43" t="s">
        <v>221</v>
      </c>
      <c r="D209" s="34">
        <f>D210</f>
        <v>680000</v>
      </c>
      <c r="E209" s="34">
        <f>E210</f>
        <v>134092</v>
      </c>
      <c r="F209" s="35">
        <f t="shared" si="35"/>
        <v>545908</v>
      </c>
      <c r="G209" s="36"/>
      <c r="H209" s="37"/>
    </row>
    <row r="210" spans="1:8" ht="22.5" customHeight="1" x14ac:dyDescent="0.25">
      <c r="A210" s="38" t="s">
        <v>522</v>
      </c>
      <c r="B210" s="32" t="s">
        <v>134</v>
      </c>
      <c r="C210" s="43" t="s">
        <v>222</v>
      </c>
      <c r="D210" s="34">
        <f>D211</f>
        <v>680000</v>
      </c>
      <c r="E210" s="34">
        <f>E211</f>
        <v>134092</v>
      </c>
      <c r="F210" s="35">
        <f t="shared" si="35"/>
        <v>545908</v>
      </c>
      <c r="G210" s="36"/>
      <c r="H210" s="37"/>
    </row>
    <row r="211" spans="1:8" ht="27" customHeight="1" x14ac:dyDescent="0.25">
      <c r="A211" s="38" t="s">
        <v>523</v>
      </c>
      <c r="B211" s="32" t="s">
        <v>134</v>
      </c>
      <c r="C211" s="43" t="s">
        <v>223</v>
      </c>
      <c r="D211" s="34">
        <f t="shared" ref="D211:E211" si="36">D212</f>
        <v>680000</v>
      </c>
      <c r="E211" s="34">
        <f t="shared" si="36"/>
        <v>134092</v>
      </c>
      <c r="F211" s="35">
        <f t="shared" si="35"/>
        <v>545908</v>
      </c>
      <c r="G211" s="36"/>
      <c r="H211" s="37"/>
    </row>
    <row r="212" spans="1:8" ht="27" customHeight="1" x14ac:dyDescent="0.25">
      <c r="A212" s="38" t="s">
        <v>524</v>
      </c>
      <c r="B212" s="32" t="s">
        <v>134</v>
      </c>
      <c r="C212" s="43" t="s">
        <v>224</v>
      </c>
      <c r="D212" s="34">
        <f>680000</f>
        <v>680000</v>
      </c>
      <c r="E212" s="34">
        <v>134092</v>
      </c>
      <c r="F212" s="35">
        <f t="shared" si="35"/>
        <v>545908</v>
      </c>
      <c r="G212" s="36"/>
      <c r="H212" s="37"/>
    </row>
    <row r="213" spans="1:8" ht="27" customHeight="1" x14ac:dyDescent="0.25">
      <c r="A213" s="38" t="s">
        <v>563</v>
      </c>
      <c r="B213" s="32" t="s">
        <v>134</v>
      </c>
      <c r="C213" s="43" t="s">
        <v>225</v>
      </c>
      <c r="D213" s="34">
        <f>D214</f>
        <v>100000</v>
      </c>
      <c r="E213" s="34">
        <f>E214</f>
        <v>30000</v>
      </c>
      <c r="F213" s="35">
        <f t="shared" si="35"/>
        <v>70000</v>
      </c>
      <c r="G213" s="36"/>
      <c r="H213" s="37"/>
    </row>
    <row r="214" spans="1:8" ht="26.25" customHeight="1" x14ac:dyDescent="0.25">
      <c r="A214" s="38" t="s">
        <v>522</v>
      </c>
      <c r="B214" s="32" t="s">
        <v>134</v>
      </c>
      <c r="C214" s="43" t="s">
        <v>226</v>
      </c>
      <c r="D214" s="34">
        <f>D215</f>
        <v>100000</v>
      </c>
      <c r="E214" s="34">
        <f>E215</f>
        <v>30000</v>
      </c>
      <c r="F214" s="35">
        <f t="shared" si="35"/>
        <v>70000</v>
      </c>
      <c r="G214" s="36"/>
      <c r="H214" s="37"/>
    </row>
    <row r="215" spans="1:8" ht="27.75" customHeight="1" x14ac:dyDescent="0.25">
      <c r="A215" s="38" t="s">
        <v>523</v>
      </c>
      <c r="B215" s="32" t="s">
        <v>134</v>
      </c>
      <c r="C215" s="43" t="s">
        <v>227</v>
      </c>
      <c r="D215" s="34">
        <f t="shared" ref="D215:E215" si="37">D216</f>
        <v>100000</v>
      </c>
      <c r="E215" s="34">
        <f t="shared" si="37"/>
        <v>30000</v>
      </c>
      <c r="F215" s="35">
        <f t="shared" si="35"/>
        <v>70000</v>
      </c>
      <c r="G215" s="36"/>
      <c r="H215" s="37"/>
    </row>
    <row r="216" spans="1:8" ht="26.25" customHeight="1" x14ac:dyDescent="0.25">
      <c r="A216" s="38" t="s">
        <v>524</v>
      </c>
      <c r="B216" s="32" t="s">
        <v>134</v>
      </c>
      <c r="C216" s="43" t="s">
        <v>228</v>
      </c>
      <c r="D216" s="34">
        <f>100000</f>
        <v>100000</v>
      </c>
      <c r="E216" s="34">
        <v>30000</v>
      </c>
      <c r="F216" s="35">
        <f t="shared" si="35"/>
        <v>70000</v>
      </c>
      <c r="G216" s="36"/>
      <c r="H216" s="37"/>
    </row>
    <row r="217" spans="1:8" ht="36" customHeight="1" x14ac:dyDescent="0.25">
      <c r="A217" s="38" t="s">
        <v>564</v>
      </c>
      <c r="B217" s="32" t="s">
        <v>134</v>
      </c>
      <c r="C217" s="43" t="s">
        <v>229</v>
      </c>
      <c r="D217" s="34">
        <f t="shared" ref="D217:E219" si="38">D218</f>
        <v>355000</v>
      </c>
      <c r="E217" s="34">
        <f t="shared" si="38"/>
        <v>0</v>
      </c>
      <c r="F217" s="35">
        <f t="shared" si="35"/>
        <v>355000</v>
      </c>
      <c r="G217" s="36"/>
      <c r="H217" s="37"/>
    </row>
    <row r="218" spans="1:8" ht="27.75" customHeight="1" x14ac:dyDescent="0.25">
      <c r="A218" s="38" t="s">
        <v>522</v>
      </c>
      <c r="B218" s="32" t="s">
        <v>134</v>
      </c>
      <c r="C218" s="43" t="s">
        <v>504</v>
      </c>
      <c r="D218" s="34">
        <f t="shared" si="38"/>
        <v>355000</v>
      </c>
      <c r="E218" s="34">
        <f t="shared" si="38"/>
        <v>0</v>
      </c>
      <c r="F218" s="35">
        <f t="shared" si="35"/>
        <v>355000</v>
      </c>
      <c r="G218" s="36"/>
      <c r="H218" s="37"/>
    </row>
    <row r="219" spans="1:8" ht="27.75" customHeight="1" x14ac:dyDescent="0.25">
      <c r="A219" s="38" t="s">
        <v>523</v>
      </c>
      <c r="B219" s="32" t="s">
        <v>134</v>
      </c>
      <c r="C219" s="43" t="s">
        <v>505</v>
      </c>
      <c r="D219" s="34">
        <f t="shared" si="38"/>
        <v>355000</v>
      </c>
      <c r="E219" s="34">
        <f t="shared" si="38"/>
        <v>0</v>
      </c>
      <c r="F219" s="35">
        <f t="shared" si="35"/>
        <v>355000</v>
      </c>
      <c r="G219" s="36"/>
      <c r="H219" s="37"/>
    </row>
    <row r="220" spans="1:8" ht="27.75" customHeight="1" x14ac:dyDescent="0.25">
      <c r="A220" s="38" t="s">
        <v>524</v>
      </c>
      <c r="B220" s="32" t="s">
        <v>134</v>
      </c>
      <c r="C220" s="43" t="s">
        <v>506</v>
      </c>
      <c r="D220" s="34">
        <f>355000</f>
        <v>355000</v>
      </c>
      <c r="E220" s="34">
        <v>0</v>
      </c>
      <c r="F220" s="35">
        <f t="shared" si="35"/>
        <v>355000</v>
      </c>
      <c r="G220" s="36"/>
      <c r="H220" s="37"/>
    </row>
    <row r="221" spans="1:8" ht="24.75" customHeight="1" x14ac:dyDescent="0.25">
      <c r="A221" s="38" t="s">
        <v>565</v>
      </c>
      <c r="B221" s="32" t="s">
        <v>134</v>
      </c>
      <c r="C221" s="43" t="s">
        <v>230</v>
      </c>
      <c r="D221" s="34">
        <f t="shared" ref="D221:E223" si="39">D222</f>
        <v>420000</v>
      </c>
      <c r="E221" s="34">
        <f t="shared" si="39"/>
        <v>0</v>
      </c>
      <c r="F221" s="35">
        <f t="shared" si="35"/>
        <v>420000</v>
      </c>
      <c r="G221" s="36"/>
      <c r="H221" s="37"/>
    </row>
    <row r="222" spans="1:8" ht="25.5" customHeight="1" x14ac:dyDescent="0.25">
      <c r="A222" s="38" t="s">
        <v>522</v>
      </c>
      <c r="B222" s="32" t="s">
        <v>134</v>
      </c>
      <c r="C222" s="43" t="s">
        <v>507</v>
      </c>
      <c r="D222" s="34">
        <f t="shared" si="39"/>
        <v>420000</v>
      </c>
      <c r="E222" s="34">
        <f t="shared" si="39"/>
        <v>0</v>
      </c>
      <c r="F222" s="35">
        <f t="shared" si="35"/>
        <v>420000</v>
      </c>
      <c r="G222" s="36"/>
      <c r="H222" s="37"/>
    </row>
    <row r="223" spans="1:8" ht="27" customHeight="1" x14ac:dyDescent="0.25">
      <c r="A223" s="38" t="s">
        <v>523</v>
      </c>
      <c r="B223" s="32" t="s">
        <v>134</v>
      </c>
      <c r="C223" s="43" t="s">
        <v>508</v>
      </c>
      <c r="D223" s="34">
        <f t="shared" si="39"/>
        <v>420000</v>
      </c>
      <c r="E223" s="34">
        <f t="shared" si="39"/>
        <v>0</v>
      </c>
      <c r="F223" s="35">
        <f t="shared" si="35"/>
        <v>420000</v>
      </c>
      <c r="G223" s="36"/>
      <c r="H223" s="37"/>
    </row>
    <row r="224" spans="1:8" ht="27" customHeight="1" x14ac:dyDescent="0.25">
      <c r="A224" s="38" t="s">
        <v>524</v>
      </c>
      <c r="B224" s="32" t="s">
        <v>134</v>
      </c>
      <c r="C224" s="43" t="s">
        <v>509</v>
      </c>
      <c r="D224" s="34">
        <f>420000</f>
        <v>420000</v>
      </c>
      <c r="E224" s="34">
        <v>0</v>
      </c>
      <c r="F224" s="35">
        <f t="shared" si="35"/>
        <v>420000</v>
      </c>
      <c r="G224" s="36"/>
      <c r="H224" s="37"/>
    </row>
    <row r="225" spans="1:8" ht="34.5" customHeight="1" x14ac:dyDescent="0.25">
      <c r="A225" s="38" t="s">
        <v>566</v>
      </c>
      <c r="B225" s="32" t="s">
        <v>134</v>
      </c>
      <c r="C225" s="43" t="s">
        <v>231</v>
      </c>
      <c r="D225" s="34">
        <f t="shared" ref="D225:E227" si="40">D226</f>
        <v>60000</v>
      </c>
      <c r="E225" s="34">
        <f t="shared" si="40"/>
        <v>0</v>
      </c>
      <c r="F225" s="35">
        <f t="shared" si="35"/>
        <v>60000</v>
      </c>
      <c r="G225" s="36"/>
      <c r="H225" s="37"/>
    </row>
    <row r="226" spans="1:8" ht="22.5" customHeight="1" x14ac:dyDescent="0.25">
      <c r="A226" s="38" t="s">
        <v>522</v>
      </c>
      <c r="B226" s="32"/>
      <c r="C226" s="43" t="s">
        <v>510</v>
      </c>
      <c r="D226" s="34">
        <f t="shared" si="40"/>
        <v>60000</v>
      </c>
      <c r="E226" s="34">
        <f t="shared" si="40"/>
        <v>0</v>
      </c>
      <c r="F226" s="35">
        <f t="shared" si="35"/>
        <v>60000</v>
      </c>
      <c r="G226" s="36"/>
      <c r="H226" s="37"/>
    </row>
    <row r="227" spans="1:8" ht="27" customHeight="1" x14ac:dyDescent="0.25">
      <c r="A227" s="38" t="s">
        <v>523</v>
      </c>
      <c r="B227" s="32" t="s">
        <v>134</v>
      </c>
      <c r="C227" s="43" t="s">
        <v>511</v>
      </c>
      <c r="D227" s="34">
        <f t="shared" si="40"/>
        <v>60000</v>
      </c>
      <c r="E227" s="34">
        <f t="shared" si="40"/>
        <v>0</v>
      </c>
      <c r="F227" s="35">
        <f t="shared" si="35"/>
        <v>60000</v>
      </c>
      <c r="G227" s="36"/>
      <c r="H227" s="37"/>
    </row>
    <row r="228" spans="1:8" ht="23.25" customHeight="1" x14ac:dyDescent="0.25">
      <c r="A228" s="38" t="s">
        <v>524</v>
      </c>
      <c r="B228" s="32" t="s">
        <v>134</v>
      </c>
      <c r="C228" s="43" t="s">
        <v>512</v>
      </c>
      <c r="D228" s="34">
        <f>60000</f>
        <v>60000</v>
      </c>
      <c r="E228" s="34">
        <v>0</v>
      </c>
      <c r="F228" s="35">
        <f t="shared" si="35"/>
        <v>60000</v>
      </c>
      <c r="G228" s="36"/>
      <c r="H228" s="37"/>
    </row>
    <row r="229" spans="1:8" ht="51.75" customHeight="1" x14ac:dyDescent="0.25">
      <c r="A229" s="38" t="s">
        <v>567</v>
      </c>
      <c r="B229" s="32" t="s">
        <v>134</v>
      </c>
      <c r="C229" s="43" t="s">
        <v>682</v>
      </c>
      <c r="D229" s="34">
        <f t="shared" ref="D229:E232" si="41">D230</f>
        <v>65000</v>
      </c>
      <c r="E229" s="34">
        <f t="shared" si="41"/>
        <v>11000</v>
      </c>
      <c r="F229" s="35">
        <f t="shared" si="35"/>
        <v>54000</v>
      </c>
      <c r="G229" s="36"/>
      <c r="H229" s="37"/>
    </row>
    <row r="230" spans="1:8" ht="40.5" customHeight="1" x14ac:dyDescent="0.25">
      <c r="A230" s="38" t="s">
        <v>568</v>
      </c>
      <c r="B230" s="32" t="s">
        <v>134</v>
      </c>
      <c r="C230" s="43" t="s">
        <v>232</v>
      </c>
      <c r="D230" s="34">
        <f t="shared" si="41"/>
        <v>65000</v>
      </c>
      <c r="E230" s="34">
        <f t="shared" si="41"/>
        <v>11000</v>
      </c>
      <c r="F230" s="35">
        <f t="shared" si="35"/>
        <v>54000</v>
      </c>
      <c r="G230" s="36"/>
      <c r="H230" s="37"/>
    </row>
    <row r="231" spans="1:8" ht="22.5" customHeight="1" x14ac:dyDescent="0.25">
      <c r="A231" s="38" t="s">
        <v>522</v>
      </c>
      <c r="B231" s="32" t="s">
        <v>134</v>
      </c>
      <c r="C231" s="43" t="s">
        <v>683</v>
      </c>
      <c r="D231" s="34">
        <f t="shared" si="41"/>
        <v>65000</v>
      </c>
      <c r="E231" s="34">
        <f t="shared" si="41"/>
        <v>11000</v>
      </c>
      <c r="F231" s="35">
        <f t="shared" si="35"/>
        <v>54000</v>
      </c>
      <c r="G231" s="36"/>
      <c r="H231" s="37"/>
    </row>
    <row r="232" spans="1:8" ht="24" customHeight="1" x14ac:dyDescent="0.25">
      <c r="A232" s="38" t="s">
        <v>523</v>
      </c>
      <c r="B232" s="32" t="s">
        <v>134</v>
      </c>
      <c r="C232" s="43" t="s">
        <v>684</v>
      </c>
      <c r="D232" s="34">
        <f t="shared" si="41"/>
        <v>65000</v>
      </c>
      <c r="E232" s="34">
        <f t="shared" si="41"/>
        <v>11000</v>
      </c>
      <c r="F232" s="35">
        <f t="shared" si="35"/>
        <v>54000</v>
      </c>
      <c r="G232" s="36"/>
      <c r="H232" s="37"/>
    </row>
    <row r="233" spans="1:8" ht="27.75" customHeight="1" x14ac:dyDescent="0.25">
      <c r="A233" s="38" t="s">
        <v>524</v>
      </c>
      <c r="B233" s="32" t="s">
        <v>134</v>
      </c>
      <c r="C233" s="43" t="s">
        <v>685</v>
      </c>
      <c r="D233" s="34">
        <f>65000</f>
        <v>65000</v>
      </c>
      <c r="E233" s="34">
        <v>11000</v>
      </c>
      <c r="F233" s="35">
        <f t="shared" si="35"/>
        <v>54000</v>
      </c>
      <c r="G233" s="36"/>
      <c r="H233" s="37"/>
    </row>
    <row r="234" spans="1:8" ht="15" customHeight="1" x14ac:dyDescent="0.25">
      <c r="A234" s="38" t="s">
        <v>375</v>
      </c>
      <c r="B234" s="32" t="s">
        <v>134</v>
      </c>
      <c r="C234" s="43" t="s">
        <v>233</v>
      </c>
      <c r="D234" s="34">
        <f t="shared" ref="D234:E235" si="42">D235</f>
        <v>474000.36</v>
      </c>
      <c r="E234" s="34">
        <f t="shared" si="42"/>
        <v>112213</v>
      </c>
      <c r="F234" s="35">
        <f t="shared" si="35"/>
        <v>361787.36</v>
      </c>
      <c r="G234" s="36"/>
      <c r="H234" s="37"/>
    </row>
    <row r="235" spans="1:8" ht="34.5" customHeight="1" x14ac:dyDescent="0.25">
      <c r="A235" s="38" t="s">
        <v>376</v>
      </c>
      <c r="B235" s="32" t="s">
        <v>134</v>
      </c>
      <c r="C235" s="43" t="s">
        <v>234</v>
      </c>
      <c r="D235" s="34">
        <f t="shared" si="42"/>
        <v>474000.36</v>
      </c>
      <c r="E235" s="34">
        <f t="shared" si="42"/>
        <v>112213</v>
      </c>
      <c r="F235" s="35">
        <f t="shared" si="35"/>
        <v>361787.36</v>
      </c>
      <c r="G235" s="36"/>
      <c r="H235" s="37"/>
    </row>
    <row r="236" spans="1:8" ht="33.75" customHeight="1" x14ac:dyDescent="0.25">
      <c r="A236" s="38" t="s">
        <v>569</v>
      </c>
      <c r="B236" s="32" t="s">
        <v>134</v>
      </c>
      <c r="C236" s="43" t="s">
        <v>235</v>
      </c>
      <c r="D236" s="34">
        <f>D237+D242</f>
        <v>474000.36</v>
      </c>
      <c r="E236" s="34">
        <f>E237+E242</f>
        <v>112213</v>
      </c>
      <c r="F236" s="35">
        <f t="shared" si="35"/>
        <v>361787.36</v>
      </c>
      <c r="G236" s="36"/>
      <c r="H236" s="37"/>
    </row>
    <row r="237" spans="1:8" ht="24" customHeight="1" x14ac:dyDescent="0.25">
      <c r="A237" s="38" t="s">
        <v>522</v>
      </c>
      <c r="B237" s="32" t="s">
        <v>134</v>
      </c>
      <c r="C237" s="43" t="s">
        <v>686</v>
      </c>
      <c r="D237" s="34">
        <f>D238</f>
        <v>353392.22</v>
      </c>
      <c r="E237" s="34">
        <f>E238</f>
        <v>0</v>
      </c>
      <c r="F237" s="35">
        <f t="shared" si="35"/>
        <v>353392.22</v>
      </c>
      <c r="G237" s="36"/>
      <c r="H237" s="37"/>
    </row>
    <row r="238" spans="1:8" ht="27" customHeight="1" x14ac:dyDescent="0.25">
      <c r="A238" s="38" t="s">
        <v>523</v>
      </c>
      <c r="B238" s="32" t="s">
        <v>134</v>
      </c>
      <c r="C238" s="43" t="s">
        <v>687</v>
      </c>
      <c r="D238" s="34">
        <f>D239</f>
        <v>353392.22</v>
      </c>
      <c r="E238" s="34">
        <f>E239</f>
        <v>0</v>
      </c>
      <c r="F238" s="35">
        <f t="shared" si="35"/>
        <v>353392.22</v>
      </c>
      <c r="G238" s="36"/>
      <c r="H238" s="37"/>
    </row>
    <row r="239" spans="1:8" ht="27" customHeight="1" x14ac:dyDescent="0.25">
      <c r="A239" s="38" t="s">
        <v>524</v>
      </c>
      <c r="B239" s="32" t="s">
        <v>134</v>
      </c>
      <c r="C239" s="43" t="s">
        <v>688</v>
      </c>
      <c r="D239" s="34">
        <f>353392.22</f>
        <v>353392.22</v>
      </c>
      <c r="E239" s="34">
        <v>0</v>
      </c>
      <c r="F239" s="35">
        <f t="shared" si="35"/>
        <v>353392.22</v>
      </c>
      <c r="G239" s="36"/>
      <c r="H239" s="37"/>
    </row>
    <row r="240" spans="1:8" ht="17.25" customHeight="1" x14ac:dyDescent="0.25">
      <c r="A240" s="38" t="s">
        <v>531</v>
      </c>
      <c r="B240" s="32" t="s">
        <v>134</v>
      </c>
      <c r="C240" s="43" t="s">
        <v>236</v>
      </c>
      <c r="D240" s="34">
        <f t="shared" ref="D240:E241" si="43">D241</f>
        <v>120608.14</v>
      </c>
      <c r="E240" s="34">
        <f t="shared" si="43"/>
        <v>112213</v>
      </c>
      <c r="F240" s="35">
        <f t="shared" si="35"/>
        <v>8395.14</v>
      </c>
      <c r="G240" s="36"/>
      <c r="H240" s="37"/>
    </row>
    <row r="241" spans="1:8" ht="16.5" customHeight="1" x14ac:dyDescent="0.25">
      <c r="A241" s="38" t="s">
        <v>570</v>
      </c>
      <c r="B241" s="32" t="s">
        <v>134</v>
      </c>
      <c r="C241" s="43" t="s">
        <v>237</v>
      </c>
      <c r="D241" s="34">
        <f t="shared" si="43"/>
        <v>120608.14</v>
      </c>
      <c r="E241" s="34">
        <f t="shared" si="43"/>
        <v>112213</v>
      </c>
      <c r="F241" s="35">
        <f t="shared" si="35"/>
        <v>8395.14</v>
      </c>
      <c r="G241" s="36"/>
      <c r="H241" s="37"/>
    </row>
    <row r="242" spans="1:8" ht="67.5" customHeight="1" x14ac:dyDescent="0.25">
      <c r="A242" s="38" t="s">
        <v>571</v>
      </c>
      <c r="B242" s="32" t="s">
        <v>134</v>
      </c>
      <c r="C242" s="43" t="s">
        <v>238</v>
      </c>
      <c r="D242" s="34">
        <f>120608.14</f>
        <v>120608.14</v>
      </c>
      <c r="E242" s="34">
        <v>112213</v>
      </c>
      <c r="F242" s="35">
        <f t="shared" si="35"/>
        <v>8395.14</v>
      </c>
      <c r="G242" s="36"/>
      <c r="H242" s="37"/>
    </row>
    <row r="243" spans="1:8" ht="18.75" customHeight="1" x14ac:dyDescent="0.25">
      <c r="A243" s="38" t="s">
        <v>572</v>
      </c>
      <c r="B243" s="32" t="s">
        <v>134</v>
      </c>
      <c r="C243" s="43" t="s">
        <v>239</v>
      </c>
      <c r="D243" s="34">
        <f>D244+D314+D348</f>
        <v>400613085.63999999</v>
      </c>
      <c r="E243" s="34">
        <f>E244+E314+E348</f>
        <v>135324687.23000002</v>
      </c>
      <c r="F243" s="35">
        <f t="shared" si="35"/>
        <v>265288398.40999997</v>
      </c>
      <c r="G243" s="36"/>
      <c r="H243" s="37"/>
    </row>
    <row r="244" spans="1:8" ht="15" customHeight="1" x14ac:dyDescent="0.25">
      <c r="A244" s="38" t="s">
        <v>573</v>
      </c>
      <c r="B244" s="32" t="s">
        <v>134</v>
      </c>
      <c r="C244" s="43" t="s">
        <v>240</v>
      </c>
      <c r="D244" s="34">
        <f>D245+D259+D283</f>
        <v>370334562.63999999</v>
      </c>
      <c r="E244" s="34">
        <f>E245+E259+E283</f>
        <v>112031247.25</v>
      </c>
      <c r="F244" s="35">
        <f t="shared" si="35"/>
        <v>258303315.38999999</v>
      </c>
      <c r="G244" s="36"/>
      <c r="H244" s="37"/>
    </row>
    <row r="245" spans="1:8" ht="24.75" customHeight="1" x14ac:dyDescent="0.25">
      <c r="A245" s="38" t="s">
        <v>382</v>
      </c>
      <c r="B245" s="32" t="s">
        <v>134</v>
      </c>
      <c r="C245" s="43" t="s">
        <v>689</v>
      </c>
      <c r="D245" s="34">
        <f>D246</f>
        <v>3051517.44</v>
      </c>
      <c r="E245" s="34">
        <f>E246</f>
        <v>318299.40000000002</v>
      </c>
      <c r="F245" s="35">
        <f t="shared" si="35"/>
        <v>2733218.04</v>
      </c>
      <c r="G245" s="36"/>
      <c r="H245" s="37"/>
    </row>
    <row r="246" spans="1:8" ht="25.5" customHeight="1" x14ac:dyDescent="0.25">
      <c r="A246" s="38" t="s">
        <v>398</v>
      </c>
      <c r="B246" s="32" t="s">
        <v>134</v>
      </c>
      <c r="C246" s="43" t="s">
        <v>690</v>
      </c>
      <c r="D246" s="34">
        <f>D247</f>
        <v>3051517.44</v>
      </c>
      <c r="E246" s="34">
        <f>E247</f>
        <v>318299.40000000002</v>
      </c>
      <c r="F246" s="35">
        <f t="shared" si="35"/>
        <v>2733218.04</v>
      </c>
      <c r="G246" s="36"/>
      <c r="H246" s="37"/>
    </row>
    <row r="247" spans="1:8" ht="27" customHeight="1" x14ac:dyDescent="0.25">
      <c r="A247" s="38" t="s">
        <v>399</v>
      </c>
      <c r="B247" s="32" t="s">
        <v>134</v>
      </c>
      <c r="C247" s="43" t="s">
        <v>691</v>
      </c>
      <c r="D247" s="34">
        <f>D248+D252+D256</f>
        <v>3051517.44</v>
      </c>
      <c r="E247" s="34">
        <f>E248+E252+E256</f>
        <v>318299.40000000002</v>
      </c>
      <c r="F247" s="35">
        <f t="shared" si="35"/>
        <v>2733218.04</v>
      </c>
      <c r="G247" s="36"/>
      <c r="H247" s="37"/>
    </row>
    <row r="248" spans="1:8" ht="29.25" customHeight="1" x14ac:dyDescent="0.25">
      <c r="A248" s="38" t="s">
        <v>574</v>
      </c>
      <c r="B248" s="32" t="s">
        <v>134</v>
      </c>
      <c r="C248" s="43" t="s">
        <v>241</v>
      </c>
      <c r="D248" s="34">
        <f t="shared" ref="D248:E250" si="44">D249</f>
        <v>2292000</v>
      </c>
      <c r="E248" s="34">
        <f t="shared" si="44"/>
        <v>176561</v>
      </c>
      <c r="F248" s="35">
        <f t="shared" si="35"/>
        <v>2115439</v>
      </c>
      <c r="G248" s="36"/>
      <c r="H248" s="37"/>
    </row>
    <row r="249" spans="1:8" ht="28.5" customHeight="1" x14ac:dyDescent="0.25">
      <c r="A249" s="38" t="s">
        <v>522</v>
      </c>
      <c r="B249" s="32" t="s">
        <v>134</v>
      </c>
      <c r="C249" s="43" t="s">
        <v>242</v>
      </c>
      <c r="D249" s="34">
        <f t="shared" si="44"/>
        <v>2292000</v>
      </c>
      <c r="E249" s="34">
        <f t="shared" si="44"/>
        <v>176561</v>
      </c>
      <c r="F249" s="35">
        <f t="shared" si="35"/>
        <v>2115439</v>
      </c>
      <c r="G249" s="36"/>
      <c r="H249" s="37"/>
    </row>
    <row r="250" spans="1:8" ht="27" customHeight="1" x14ac:dyDescent="0.25">
      <c r="A250" s="38" t="s">
        <v>523</v>
      </c>
      <c r="B250" s="32" t="s">
        <v>134</v>
      </c>
      <c r="C250" s="43" t="s">
        <v>243</v>
      </c>
      <c r="D250" s="34">
        <f t="shared" si="44"/>
        <v>2292000</v>
      </c>
      <c r="E250" s="34">
        <f t="shared" si="44"/>
        <v>176561</v>
      </c>
      <c r="F250" s="35">
        <f t="shared" si="35"/>
        <v>2115439</v>
      </c>
      <c r="G250" s="36"/>
      <c r="H250" s="37"/>
    </row>
    <row r="251" spans="1:8" ht="24.75" customHeight="1" x14ac:dyDescent="0.25">
      <c r="A251" s="38" t="s">
        <v>575</v>
      </c>
      <c r="B251" s="32" t="s">
        <v>134</v>
      </c>
      <c r="C251" s="43" t="s">
        <v>692</v>
      </c>
      <c r="D251" s="34">
        <f>2292000</f>
        <v>2292000</v>
      </c>
      <c r="E251" s="34">
        <v>176561</v>
      </c>
      <c r="F251" s="35">
        <f t="shared" si="35"/>
        <v>2115439</v>
      </c>
      <c r="G251" s="36"/>
      <c r="H251" s="37"/>
    </row>
    <row r="252" spans="1:8" ht="27" customHeight="1" x14ac:dyDescent="0.25">
      <c r="A252" s="38" t="s">
        <v>576</v>
      </c>
      <c r="B252" s="32" t="s">
        <v>134</v>
      </c>
      <c r="C252" s="43" t="s">
        <v>244</v>
      </c>
      <c r="D252" s="34">
        <f t="shared" ref="D252:E254" si="45">D253</f>
        <v>319000</v>
      </c>
      <c r="E252" s="34">
        <f t="shared" si="45"/>
        <v>141738.4</v>
      </c>
      <c r="F252" s="35">
        <f t="shared" si="35"/>
        <v>177261.6</v>
      </c>
      <c r="G252" s="36"/>
      <c r="H252" s="37"/>
    </row>
    <row r="253" spans="1:8" ht="23.25" customHeight="1" x14ac:dyDescent="0.25">
      <c r="A253" s="38" t="s">
        <v>522</v>
      </c>
      <c r="B253" s="32" t="s">
        <v>134</v>
      </c>
      <c r="C253" s="43" t="s">
        <v>245</v>
      </c>
      <c r="D253" s="34">
        <f t="shared" si="45"/>
        <v>319000</v>
      </c>
      <c r="E253" s="34">
        <f t="shared" si="45"/>
        <v>141738.4</v>
      </c>
      <c r="F253" s="35">
        <f t="shared" si="35"/>
        <v>177261.6</v>
      </c>
      <c r="G253" s="36"/>
      <c r="H253" s="37"/>
    </row>
    <row r="254" spans="1:8" ht="24.75" customHeight="1" x14ac:dyDescent="0.25">
      <c r="A254" s="38" t="s">
        <v>523</v>
      </c>
      <c r="B254" s="32" t="s">
        <v>134</v>
      </c>
      <c r="C254" s="43" t="s">
        <v>246</v>
      </c>
      <c r="D254" s="34">
        <f t="shared" si="45"/>
        <v>319000</v>
      </c>
      <c r="E254" s="34">
        <f t="shared" si="45"/>
        <v>141738.4</v>
      </c>
      <c r="F254" s="35">
        <f t="shared" si="35"/>
        <v>177261.6</v>
      </c>
      <c r="G254" s="36"/>
      <c r="H254" s="37"/>
    </row>
    <row r="255" spans="1:8" ht="24.75" customHeight="1" x14ac:dyDescent="0.25">
      <c r="A255" s="38" t="s">
        <v>524</v>
      </c>
      <c r="B255" s="32" t="s">
        <v>134</v>
      </c>
      <c r="C255" s="43" t="s">
        <v>247</v>
      </c>
      <c r="D255" s="34">
        <f>319000</f>
        <v>319000</v>
      </c>
      <c r="E255" s="34">
        <v>141738.4</v>
      </c>
      <c r="F255" s="35">
        <f t="shared" si="35"/>
        <v>177261.6</v>
      </c>
      <c r="G255" s="36"/>
      <c r="H255" s="37"/>
    </row>
    <row r="256" spans="1:8" ht="26.25" customHeight="1" x14ac:dyDescent="0.25">
      <c r="A256" s="38" t="s">
        <v>577</v>
      </c>
      <c r="B256" s="32" t="s">
        <v>134</v>
      </c>
      <c r="C256" s="43" t="s">
        <v>248</v>
      </c>
      <c r="D256" s="34">
        <f t="shared" ref="D256:E257" si="46">D257</f>
        <v>440517.44</v>
      </c>
      <c r="E256" s="34">
        <f t="shared" si="46"/>
        <v>0</v>
      </c>
      <c r="F256" s="35">
        <f t="shared" si="35"/>
        <v>440517.44</v>
      </c>
      <c r="G256" s="36"/>
      <c r="H256" s="37"/>
    </row>
    <row r="257" spans="1:8" ht="25.5" customHeight="1" x14ac:dyDescent="0.25">
      <c r="A257" s="38" t="s">
        <v>578</v>
      </c>
      <c r="B257" s="32" t="s">
        <v>134</v>
      </c>
      <c r="C257" s="43" t="s">
        <v>693</v>
      </c>
      <c r="D257" s="34">
        <f t="shared" si="46"/>
        <v>440517.44</v>
      </c>
      <c r="E257" s="34">
        <f t="shared" si="46"/>
        <v>0</v>
      </c>
      <c r="F257" s="35">
        <f t="shared" si="35"/>
        <v>440517.44</v>
      </c>
      <c r="G257" s="36"/>
      <c r="H257" s="37"/>
    </row>
    <row r="258" spans="1:8" ht="28.5" customHeight="1" x14ac:dyDescent="0.25">
      <c r="A258" s="38" t="s">
        <v>579</v>
      </c>
      <c r="B258" s="32" t="s">
        <v>134</v>
      </c>
      <c r="C258" s="43" t="s">
        <v>694</v>
      </c>
      <c r="D258" s="34">
        <f>440517.44</f>
        <v>440517.44</v>
      </c>
      <c r="E258" s="34">
        <v>0</v>
      </c>
      <c r="F258" s="35">
        <f t="shared" si="35"/>
        <v>440517.44</v>
      </c>
      <c r="G258" s="36"/>
      <c r="H258" s="37"/>
    </row>
    <row r="259" spans="1:8" ht="36.75" customHeight="1" x14ac:dyDescent="0.25">
      <c r="A259" s="38" t="s">
        <v>580</v>
      </c>
      <c r="B259" s="32" t="s">
        <v>134</v>
      </c>
      <c r="C259" s="43" t="s">
        <v>695</v>
      </c>
      <c r="D259" s="34">
        <f>D260+D274</f>
        <v>80928664.700000003</v>
      </c>
      <c r="E259" s="34">
        <f>E260+E274</f>
        <v>26567820.870000001</v>
      </c>
      <c r="F259" s="35">
        <f t="shared" si="35"/>
        <v>54360843.829999998</v>
      </c>
      <c r="G259" s="36"/>
      <c r="H259" s="37"/>
    </row>
    <row r="260" spans="1:8" ht="48" customHeight="1" x14ac:dyDescent="0.25">
      <c r="A260" s="38" t="s">
        <v>581</v>
      </c>
      <c r="B260" s="32" t="s">
        <v>134</v>
      </c>
      <c r="C260" s="43" t="s">
        <v>696</v>
      </c>
      <c r="D260" s="34">
        <f>D261</f>
        <v>74283664.700000003</v>
      </c>
      <c r="E260" s="34">
        <f>E261</f>
        <v>21783360</v>
      </c>
      <c r="F260" s="35">
        <f t="shared" si="35"/>
        <v>52500304.700000003</v>
      </c>
      <c r="G260" s="36"/>
      <c r="H260" s="37"/>
    </row>
    <row r="261" spans="1:8" ht="33.75" customHeight="1" x14ac:dyDescent="0.25">
      <c r="A261" s="38" t="s">
        <v>582</v>
      </c>
      <c r="B261" s="32" t="s">
        <v>134</v>
      </c>
      <c r="C261" s="43" t="s">
        <v>697</v>
      </c>
      <c r="D261" s="34">
        <f>D262+D266+D270</f>
        <v>74283664.700000003</v>
      </c>
      <c r="E261" s="34">
        <f>E262+E266+E270</f>
        <v>21783360</v>
      </c>
      <c r="F261" s="35">
        <f t="shared" si="35"/>
        <v>52500304.700000003</v>
      </c>
      <c r="G261" s="36"/>
      <c r="H261" s="37"/>
    </row>
    <row r="262" spans="1:8" ht="29.25" customHeight="1" x14ac:dyDescent="0.25">
      <c r="A262" s="38" t="s">
        <v>583</v>
      </c>
      <c r="B262" s="32" t="s">
        <v>134</v>
      </c>
      <c r="C262" s="43" t="s">
        <v>250</v>
      </c>
      <c r="D262" s="34">
        <f t="shared" ref="D262:E264" si="47">D263</f>
        <v>53924163.700000003</v>
      </c>
      <c r="E262" s="34">
        <f t="shared" si="47"/>
        <v>18824736.760000002</v>
      </c>
      <c r="F262" s="35">
        <f t="shared" si="35"/>
        <v>35099426.939999998</v>
      </c>
      <c r="G262" s="36"/>
      <c r="H262" s="37"/>
    </row>
    <row r="263" spans="1:8" ht="24.75" customHeight="1" x14ac:dyDescent="0.25">
      <c r="A263" s="38" t="s">
        <v>584</v>
      </c>
      <c r="B263" s="32" t="s">
        <v>134</v>
      </c>
      <c r="C263" s="43" t="s">
        <v>698</v>
      </c>
      <c r="D263" s="34">
        <f t="shared" si="47"/>
        <v>53924163.700000003</v>
      </c>
      <c r="E263" s="34">
        <f t="shared" si="47"/>
        <v>18824736.760000002</v>
      </c>
      <c r="F263" s="35">
        <f t="shared" si="35"/>
        <v>35099426.939999998</v>
      </c>
      <c r="G263" s="36"/>
      <c r="H263" s="37"/>
    </row>
    <row r="264" spans="1:8" ht="18" customHeight="1" x14ac:dyDescent="0.25">
      <c r="A264" s="38" t="s">
        <v>585</v>
      </c>
      <c r="B264" s="32" t="s">
        <v>134</v>
      </c>
      <c r="C264" s="43" t="s">
        <v>699</v>
      </c>
      <c r="D264" s="34">
        <f t="shared" si="47"/>
        <v>53924163.700000003</v>
      </c>
      <c r="E264" s="34">
        <f t="shared" si="47"/>
        <v>18824736.760000002</v>
      </c>
      <c r="F264" s="35">
        <f t="shared" si="35"/>
        <v>35099426.939999998</v>
      </c>
      <c r="G264" s="36"/>
      <c r="H264" s="37"/>
    </row>
    <row r="265" spans="1:8" ht="36" customHeight="1" x14ac:dyDescent="0.25">
      <c r="A265" s="38" t="s">
        <v>586</v>
      </c>
      <c r="B265" s="32" t="s">
        <v>134</v>
      </c>
      <c r="C265" s="43" t="s">
        <v>700</v>
      </c>
      <c r="D265" s="34">
        <f>53924163.7</f>
        <v>53924163.700000003</v>
      </c>
      <c r="E265" s="34">
        <v>18824736.760000002</v>
      </c>
      <c r="F265" s="35">
        <f t="shared" si="35"/>
        <v>35099426.939999998</v>
      </c>
      <c r="G265" s="36"/>
      <c r="H265" s="37"/>
    </row>
    <row r="266" spans="1:8" ht="22.5" customHeight="1" x14ac:dyDescent="0.25">
      <c r="A266" s="38" t="s">
        <v>587</v>
      </c>
      <c r="B266" s="32" t="s">
        <v>134</v>
      </c>
      <c r="C266" s="43" t="s">
        <v>251</v>
      </c>
      <c r="D266" s="34">
        <f t="shared" ref="D266:E268" si="48">D267</f>
        <v>7127800</v>
      </c>
      <c r="E266" s="34">
        <f t="shared" si="48"/>
        <v>2471605.2400000002</v>
      </c>
      <c r="F266" s="35">
        <f t="shared" si="35"/>
        <v>4656194.76</v>
      </c>
      <c r="G266" s="36"/>
      <c r="H266" s="37"/>
    </row>
    <row r="267" spans="1:8" ht="26.25" customHeight="1" x14ac:dyDescent="0.25">
      <c r="A267" s="38" t="s">
        <v>584</v>
      </c>
      <c r="B267" s="32" t="s">
        <v>134</v>
      </c>
      <c r="C267" s="43" t="s">
        <v>701</v>
      </c>
      <c r="D267" s="34">
        <f t="shared" si="48"/>
        <v>7127800</v>
      </c>
      <c r="E267" s="34">
        <f t="shared" si="48"/>
        <v>2471605.2400000002</v>
      </c>
      <c r="F267" s="35">
        <f t="shared" ref="F267:F337" si="49">D267-E267</f>
        <v>4656194.76</v>
      </c>
      <c r="G267" s="36"/>
      <c r="H267" s="37"/>
    </row>
    <row r="268" spans="1:8" ht="17.25" customHeight="1" x14ac:dyDescent="0.25">
      <c r="A268" s="38" t="s">
        <v>585</v>
      </c>
      <c r="B268" s="32" t="s">
        <v>134</v>
      </c>
      <c r="C268" s="43" t="s">
        <v>702</v>
      </c>
      <c r="D268" s="34">
        <f t="shared" si="48"/>
        <v>7127800</v>
      </c>
      <c r="E268" s="34">
        <f t="shared" si="48"/>
        <v>2471605.2400000002</v>
      </c>
      <c r="F268" s="35">
        <f t="shared" si="49"/>
        <v>4656194.76</v>
      </c>
      <c r="G268" s="36"/>
      <c r="H268" s="37"/>
    </row>
    <row r="269" spans="1:8" ht="35.25" customHeight="1" x14ac:dyDescent="0.25">
      <c r="A269" s="38" t="s">
        <v>586</v>
      </c>
      <c r="B269" s="32" t="s">
        <v>134</v>
      </c>
      <c r="C269" s="43" t="s">
        <v>703</v>
      </c>
      <c r="D269" s="34">
        <f>7127800</f>
        <v>7127800</v>
      </c>
      <c r="E269" s="34">
        <v>2471605.2400000002</v>
      </c>
      <c r="F269" s="35">
        <f t="shared" si="49"/>
        <v>4656194.76</v>
      </c>
      <c r="G269" s="36"/>
      <c r="H269" s="37"/>
    </row>
    <row r="270" spans="1:8" ht="43.5" customHeight="1" x14ac:dyDescent="0.25">
      <c r="A270" s="38" t="s">
        <v>588</v>
      </c>
      <c r="B270" s="32" t="s">
        <v>134</v>
      </c>
      <c r="C270" s="43" t="s">
        <v>249</v>
      </c>
      <c r="D270" s="34">
        <f t="shared" ref="D270:E272" si="50">D271</f>
        <v>13231701</v>
      </c>
      <c r="E270" s="34">
        <f t="shared" si="50"/>
        <v>487018</v>
      </c>
      <c r="F270" s="35">
        <f t="shared" si="49"/>
        <v>12744683</v>
      </c>
      <c r="G270" s="36"/>
      <c r="H270" s="37"/>
    </row>
    <row r="271" spans="1:8" ht="28.5" customHeight="1" x14ac:dyDescent="0.25">
      <c r="A271" s="38" t="s">
        <v>584</v>
      </c>
      <c r="B271" s="32" t="s">
        <v>134</v>
      </c>
      <c r="C271" s="43" t="s">
        <v>704</v>
      </c>
      <c r="D271" s="34">
        <f t="shared" si="50"/>
        <v>13231701</v>
      </c>
      <c r="E271" s="34">
        <f t="shared" si="50"/>
        <v>487018</v>
      </c>
      <c r="F271" s="35">
        <f t="shared" si="49"/>
        <v>12744683</v>
      </c>
      <c r="G271" s="36"/>
      <c r="H271" s="37"/>
    </row>
    <row r="272" spans="1:8" ht="13.5" customHeight="1" x14ac:dyDescent="0.25">
      <c r="A272" s="38" t="s">
        <v>585</v>
      </c>
      <c r="B272" s="32" t="s">
        <v>134</v>
      </c>
      <c r="C272" s="43" t="s">
        <v>705</v>
      </c>
      <c r="D272" s="34">
        <f t="shared" si="50"/>
        <v>13231701</v>
      </c>
      <c r="E272" s="34">
        <f t="shared" si="50"/>
        <v>487018</v>
      </c>
      <c r="F272" s="35">
        <f t="shared" si="49"/>
        <v>12744683</v>
      </c>
      <c r="G272" s="36"/>
      <c r="H272" s="37"/>
    </row>
    <row r="273" spans="1:8" ht="33.75" customHeight="1" x14ac:dyDescent="0.25">
      <c r="A273" s="38" t="s">
        <v>586</v>
      </c>
      <c r="B273" s="32" t="s">
        <v>134</v>
      </c>
      <c r="C273" s="43" t="s">
        <v>706</v>
      </c>
      <c r="D273" s="34">
        <f>13231701</f>
        <v>13231701</v>
      </c>
      <c r="E273" s="34">
        <v>487018</v>
      </c>
      <c r="F273" s="35">
        <f t="shared" si="49"/>
        <v>12744683</v>
      </c>
      <c r="G273" s="36"/>
      <c r="H273" s="37"/>
    </row>
    <row r="274" spans="1:8" ht="25.5" customHeight="1" x14ac:dyDescent="0.25">
      <c r="A274" s="38" t="s">
        <v>589</v>
      </c>
      <c r="B274" s="32" t="s">
        <v>134</v>
      </c>
      <c r="C274" s="43" t="s">
        <v>707</v>
      </c>
      <c r="D274" s="34">
        <f>D275+D279</f>
        <v>6645000</v>
      </c>
      <c r="E274" s="34">
        <f>E275+E279</f>
        <v>4784460.87</v>
      </c>
      <c r="F274" s="35">
        <f t="shared" si="49"/>
        <v>1860539.13</v>
      </c>
      <c r="G274" s="36"/>
      <c r="H274" s="37"/>
    </row>
    <row r="275" spans="1:8" ht="32.25" customHeight="1" x14ac:dyDescent="0.25">
      <c r="A275" s="38" t="s">
        <v>590</v>
      </c>
      <c r="B275" s="32" t="s">
        <v>134</v>
      </c>
      <c r="C275" s="43" t="s">
        <v>252</v>
      </c>
      <c r="D275" s="34">
        <f>D276</f>
        <v>845000</v>
      </c>
      <c r="E275" s="34">
        <f>E276</f>
        <v>468560.87</v>
      </c>
      <c r="F275" s="35">
        <f t="shared" si="49"/>
        <v>376439.13</v>
      </c>
      <c r="G275" s="36"/>
      <c r="H275" s="37"/>
    </row>
    <row r="276" spans="1:8" ht="27" customHeight="1" x14ac:dyDescent="0.25">
      <c r="A276" s="38" t="s">
        <v>522</v>
      </c>
      <c r="B276" s="32" t="s">
        <v>134</v>
      </c>
      <c r="C276" s="43" t="s">
        <v>708</v>
      </c>
      <c r="D276" s="34">
        <f t="shared" ref="D276:E277" si="51">D277</f>
        <v>845000</v>
      </c>
      <c r="E276" s="34">
        <f t="shared" si="51"/>
        <v>468560.87</v>
      </c>
      <c r="F276" s="35">
        <f t="shared" si="49"/>
        <v>376439.13</v>
      </c>
      <c r="G276" s="36"/>
      <c r="H276" s="37"/>
    </row>
    <row r="277" spans="1:8" ht="27" customHeight="1" x14ac:dyDescent="0.25">
      <c r="A277" s="38" t="s">
        <v>523</v>
      </c>
      <c r="B277" s="32" t="s">
        <v>134</v>
      </c>
      <c r="C277" s="43" t="s">
        <v>709</v>
      </c>
      <c r="D277" s="34">
        <f t="shared" si="51"/>
        <v>845000</v>
      </c>
      <c r="E277" s="34">
        <f t="shared" si="51"/>
        <v>468560.87</v>
      </c>
      <c r="F277" s="35">
        <f t="shared" si="49"/>
        <v>376439.13</v>
      </c>
      <c r="G277" s="36"/>
      <c r="H277" s="37"/>
    </row>
    <row r="278" spans="1:8" ht="26.25" customHeight="1" x14ac:dyDescent="0.25">
      <c r="A278" s="38" t="s">
        <v>524</v>
      </c>
      <c r="B278" s="32" t="s">
        <v>134</v>
      </c>
      <c r="C278" s="43" t="s">
        <v>710</v>
      </c>
      <c r="D278" s="34">
        <f>845000</f>
        <v>845000</v>
      </c>
      <c r="E278" s="34">
        <v>468560.87</v>
      </c>
      <c r="F278" s="35">
        <f t="shared" si="49"/>
        <v>376439.13</v>
      </c>
      <c r="G278" s="36"/>
      <c r="H278" s="37"/>
    </row>
    <row r="279" spans="1:8" ht="44.25" customHeight="1" x14ac:dyDescent="0.25">
      <c r="A279" s="38" t="s">
        <v>591</v>
      </c>
      <c r="B279" s="32" t="s">
        <v>134</v>
      </c>
      <c r="C279" s="43" t="s">
        <v>253</v>
      </c>
      <c r="D279" s="34">
        <f t="shared" ref="D279:E281" si="52">D280</f>
        <v>5800000</v>
      </c>
      <c r="E279" s="34">
        <f t="shared" si="52"/>
        <v>4315900</v>
      </c>
      <c r="F279" s="35">
        <f t="shared" si="49"/>
        <v>1484100</v>
      </c>
      <c r="G279" s="36"/>
      <c r="H279" s="37"/>
    </row>
    <row r="280" spans="1:8" ht="25.5" customHeight="1" x14ac:dyDescent="0.25">
      <c r="A280" s="38" t="s">
        <v>584</v>
      </c>
      <c r="B280" s="32" t="s">
        <v>134</v>
      </c>
      <c r="C280" s="43" t="s">
        <v>254</v>
      </c>
      <c r="D280" s="34">
        <f t="shared" si="52"/>
        <v>5800000</v>
      </c>
      <c r="E280" s="34">
        <f t="shared" si="52"/>
        <v>4315900</v>
      </c>
      <c r="F280" s="35">
        <f t="shared" si="49"/>
        <v>1484100</v>
      </c>
      <c r="G280" s="36"/>
      <c r="H280" s="37"/>
    </row>
    <row r="281" spans="1:8" ht="18" customHeight="1" x14ac:dyDescent="0.25">
      <c r="A281" s="38" t="s">
        <v>585</v>
      </c>
      <c r="B281" s="32" t="s">
        <v>134</v>
      </c>
      <c r="C281" s="43" t="s">
        <v>255</v>
      </c>
      <c r="D281" s="34">
        <f t="shared" si="52"/>
        <v>5800000</v>
      </c>
      <c r="E281" s="34">
        <f t="shared" si="52"/>
        <v>4315900</v>
      </c>
      <c r="F281" s="35">
        <f t="shared" si="49"/>
        <v>1484100</v>
      </c>
      <c r="G281" s="36"/>
      <c r="H281" s="37"/>
    </row>
    <row r="282" spans="1:8" ht="34.5" customHeight="1" x14ac:dyDescent="0.25">
      <c r="A282" s="38" t="s">
        <v>586</v>
      </c>
      <c r="B282" s="32" t="s">
        <v>134</v>
      </c>
      <c r="C282" s="43" t="s">
        <v>256</v>
      </c>
      <c r="D282" s="34">
        <f>5800000</f>
        <v>5800000</v>
      </c>
      <c r="E282" s="34">
        <v>4315900</v>
      </c>
      <c r="F282" s="35">
        <f t="shared" si="49"/>
        <v>1484100</v>
      </c>
      <c r="G282" s="36"/>
      <c r="H282" s="37"/>
    </row>
    <row r="283" spans="1:8" ht="69" customHeight="1" x14ac:dyDescent="0.25">
      <c r="A283" s="38" t="s">
        <v>592</v>
      </c>
      <c r="B283" s="32" t="s">
        <v>134</v>
      </c>
      <c r="C283" s="43" t="s">
        <v>711</v>
      </c>
      <c r="D283" s="34">
        <f>D284+D305</f>
        <v>286354380.5</v>
      </c>
      <c r="E283" s="34">
        <f>E284+E305</f>
        <v>85145126.980000004</v>
      </c>
      <c r="F283" s="35">
        <f t="shared" si="49"/>
        <v>201209253.51999998</v>
      </c>
      <c r="G283" s="36"/>
      <c r="H283" s="37"/>
    </row>
    <row r="284" spans="1:8" ht="43.5" customHeight="1" x14ac:dyDescent="0.25">
      <c r="A284" s="38" t="s">
        <v>593</v>
      </c>
      <c r="B284" s="32" t="s">
        <v>134</v>
      </c>
      <c r="C284" s="43" t="s">
        <v>712</v>
      </c>
      <c r="D284" s="34">
        <f>D285+D289+D293+D297+D301</f>
        <v>284643680.5</v>
      </c>
      <c r="E284" s="34">
        <f>E285+E289+E293+E297+E301</f>
        <v>84056795</v>
      </c>
      <c r="F284" s="35">
        <f t="shared" si="49"/>
        <v>200586885.5</v>
      </c>
      <c r="G284" s="36"/>
      <c r="H284" s="37"/>
    </row>
    <row r="285" spans="1:8" ht="33" customHeight="1" x14ac:dyDescent="0.25">
      <c r="A285" s="38" t="s">
        <v>594</v>
      </c>
      <c r="B285" s="32" t="s">
        <v>134</v>
      </c>
      <c r="C285" s="43" t="s">
        <v>713</v>
      </c>
      <c r="D285" s="34">
        <f t="shared" ref="D285:E287" si="53">D286</f>
        <v>61794615</v>
      </c>
      <c r="E285" s="34">
        <f t="shared" si="53"/>
        <v>8052049</v>
      </c>
      <c r="F285" s="35">
        <f t="shared" si="49"/>
        <v>53742566</v>
      </c>
      <c r="G285" s="36"/>
      <c r="H285" s="37"/>
    </row>
    <row r="286" spans="1:8" ht="24" customHeight="1" x14ac:dyDescent="0.25">
      <c r="A286" s="38" t="s">
        <v>584</v>
      </c>
      <c r="B286" s="32" t="s">
        <v>134</v>
      </c>
      <c r="C286" s="43" t="s">
        <v>714</v>
      </c>
      <c r="D286" s="34">
        <f t="shared" si="53"/>
        <v>61794615</v>
      </c>
      <c r="E286" s="34">
        <f t="shared" si="53"/>
        <v>8052049</v>
      </c>
      <c r="F286" s="35">
        <f t="shared" si="49"/>
        <v>53742566</v>
      </c>
      <c r="G286" s="36"/>
      <c r="H286" s="37"/>
    </row>
    <row r="287" spans="1:8" ht="15.75" customHeight="1" x14ac:dyDescent="0.25">
      <c r="A287" s="38" t="s">
        <v>585</v>
      </c>
      <c r="B287" s="32" t="s">
        <v>134</v>
      </c>
      <c r="C287" s="43" t="s">
        <v>715</v>
      </c>
      <c r="D287" s="34">
        <f t="shared" si="53"/>
        <v>61794615</v>
      </c>
      <c r="E287" s="34">
        <f t="shared" si="53"/>
        <v>8052049</v>
      </c>
      <c r="F287" s="35">
        <f t="shared" si="49"/>
        <v>53742566</v>
      </c>
      <c r="G287" s="36"/>
      <c r="H287" s="37"/>
    </row>
    <row r="288" spans="1:8" ht="34.5" customHeight="1" x14ac:dyDescent="0.25">
      <c r="A288" s="38" t="s">
        <v>586</v>
      </c>
      <c r="B288" s="32" t="s">
        <v>134</v>
      </c>
      <c r="C288" s="43" t="s">
        <v>716</v>
      </c>
      <c r="D288" s="34">
        <f>21746295+40048320</f>
        <v>61794615</v>
      </c>
      <c r="E288" s="34">
        <v>8052049</v>
      </c>
      <c r="F288" s="35">
        <f t="shared" si="49"/>
        <v>53742566</v>
      </c>
      <c r="G288" s="36"/>
      <c r="H288" s="37"/>
    </row>
    <row r="289" spans="1:8" ht="34.5" customHeight="1" x14ac:dyDescent="0.25">
      <c r="A289" s="42" t="s">
        <v>595</v>
      </c>
      <c r="B289" s="32" t="s">
        <v>134</v>
      </c>
      <c r="C289" s="43" t="s">
        <v>974</v>
      </c>
      <c r="D289" s="34">
        <f t="shared" ref="D289:E291" si="54">D290</f>
        <v>186858658</v>
      </c>
      <c r="E289" s="34">
        <f t="shared" si="54"/>
        <v>69837646</v>
      </c>
      <c r="F289" s="35">
        <f t="shared" si="49"/>
        <v>117021012</v>
      </c>
      <c r="G289" s="36"/>
      <c r="H289" s="37"/>
    </row>
    <row r="290" spans="1:8" ht="24" customHeight="1" x14ac:dyDescent="0.25">
      <c r="A290" s="38" t="s">
        <v>596</v>
      </c>
      <c r="B290" s="32" t="s">
        <v>134</v>
      </c>
      <c r="C290" s="43" t="s">
        <v>975</v>
      </c>
      <c r="D290" s="34">
        <f t="shared" si="54"/>
        <v>186858658</v>
      </c>
      <c r="E290" s="34">
        <f t="shared" si="54"/>
        <v>69837646</v>
      </c>
      <c r="F290" s="35">
        <f t="shared" si="49"/>
        <v>117021012</v>
      </c>
      <c r="G290" s="36"/>
      <c r="H290" s="37"/>
    </row>
    <row r="291" spans="1:8" ht="16.5" customHeight="1" x14ac:dyDescent="0.25">
      <c r="A291" s="38" t="s">
        <v>585</v>
      </c>
      <c r="B291" s="32" t="s">
        <v>134</v>
      </c>
      <c r="C291" s="43" t="s">
        <v>976</v>
      </c>
      <c r="D291" s="34">
        <f t="shared" si="54"/>
        <v>186858658</v>
      </c>
      <c r="E291" s="34">
        <f t="shared" si="54"/>
        <v>69837646</v>
      </c>
      <c r="F291" s="35">
        <f t="shared" si="49"/>
        <v>117021012</v>
      </c>
      <c r="G291" s="36"/>
      <c r="H291" s="37"/>
    </row>
    <row r="292" spans="1:8" ht="35.25" customHeight="1" x14ac:dyDescent="0.25">
      <c r="A292" s="38" t="s">
        <v>586</v>
      </c>
      <c r="B292" s="32" t="s">
        <v>134</v>
      </c>
      <c r="C292" s="43" t="s">
        <v>977</v>
      </c>
      <c r="D292" s="34">
        <v>186858658</v>
      </c>
      <c r="E292" s="34">
        <v>69837646</v>
      </c>
      <c r="F292" s="35">
        <f t="shared" si="49"/>
        <v>117021012</v>
      </c>
      <c r="G292" s="36"/>
      <c r="H292" s="37"/>
    </row>
    <row r="293" spans="1:8" ht="54.75" customHeight="1" x14ac:dyDescent="0.25">
      <c r="A293" s="38" t="s">
        <v>597</v>
      </c>
      <c r="B293" s="32" t="s">
        <v>134</v>
      </c>
      <c r="C293" s="43" t="s">
        <v>978</v>
      </c>
      <c r="D293" s="34">
        <f t="shared" ref="D293:E295" si="55">D294</f>
        <v>3179502.5</v>
      </c>
      <c r="E293" s="34">
        <f t="shared" si="55"/>
        <v>1428495</v>
      </c>
      <c r="F293" s="35">
        <f t="shared" si="49"/>
        <v>1751007.5</v>
      </c>
      <c r="G293" s="36"/>
      <c r="H293" s="37"/>
    </row>
    <row r="294" spans="1:8" ht="27" customHeight="1" x14ac:dyDescent="0.25">
      <c r="A294" s="38" t="s">
        <v>584</v>
      </c>
      <c r="B294" s="32" t="s">
        <v>134</v>
      </c>
      <c r="C294" s="43" t="s">
        <v>979</v>
      </c>
      <c r="D294" s="34">
        <f t="shared" si="55"/>
        <v>3179502.5</v>
      </c>
      <c r="E294" s="34">
        <f t="shared" si="55"/>
        <v>1428495</v>
      </c>
      <c r="F294" s="35">
        <f t="shared" si="49"/>
        <v>1751007.5</v>
      </c>
      <c r="G294" s="36"/>
      <c r="H294" s="37"/>
    </row>
    <row r="295" spans="1:8" ht="15" customHeight="1" x14ac:dyDescent="0.25">
      <c r="A295" s="38" t="s">
        <v>585</v>
      </c>
      <c r="B295" s="32" t="s">
        <v>134</v>
      </c>
      <c r="C295" s="43" t="s">
        <v>980</v>
      </c>
      <c r="D295" s="34">
        <f t="shared" si="55"/>
        <v>3179502.5</v>
      </c>
      <c r="E295" s="34">
        <f t="shared" si="55"/>
        <v>1428495</v>
      </c>
      <c r="F295" s="35">
        <f t="shared" si="49"/>
        <v>1751007.5</v>
      </c>
      <c r="G295" s="36"/>
      <c r="H295" s="37"/>
    </row>
    <row r="296" spans="1:8" ht="33.75" customHeight="1" x14ac:dyDescent="0.25">
      <c r="A296" s="38" t="s">
        <v>586</v>
      </c>
      <c r="B296" s="32" t="s">
        <v>134</v>
      </c>
      <c r="C296" s="43" t="s">
        <v>981</v>
      </c>
      <c r="D296" s="34">
        <v>3179502.5</v>
      </c>
      <c r="E296" s="34">
        <v>1428495</v>
      </c>
      <c r="F296" s="35">
        <f t="shared" si="49"/>
        <v>1751007.5</v>
      </c>
      <c r="G296" s="36"/>
      <c r="H296" s="37"/>
    </row>
    <row r="297" spans="1:8" ht="80.25" customHeight="1" x14ac:dyDescent="0.25">
      <c r="A297" s="38" t="s">
        <v>598</v>
      </c>
      <c r="B297" s="32" t="s">
        <v>134</v>
      </c>
      <c r="C297" s="43" t="s">
        <v>257</v>
      </c>
      <c r="D297" s="34">
        <f t="shared" ref="D297:E299" si="56">D298</f>
        <v>4738605</v>
      </c>
      <c r="E297" s="34">
        <f t="shared" si="56"/>
        <v>4738605</v>
      </c>
      <c r="F297" s="35">
        <f t="shared" si="49"/>
        <v>0</v>
      </c>
      <c r="G297" s="36"/>
      <c r="H297" s="37"/>
    </row>
    <row r="298" spans="1:8" ht="28.5" customHeight="1" x14ac:dyDescent="0.25">
      <c r="A298" s="38" t="s">
        <v>584</v>
      </c>
      <c r="B298" s="32" t="s">
        <v>134</v>
      </c>
      <c r="C298" s="43" t="s">
        <v>717</v>
      </c>
      <c r="D298" s="34">
        <f t="shared" si="56"/>
        <v>4738605</v>
      </c>
      <c r="E298" s="34">
        <f t="shared" si="56"/>
        <v>4738605</v>
      </c>
      <c r="F298" s="35">
        <f t="shared" si="49"/>
        <v>0</v>
      </c>
      <c r="G298" s="36"/>
      <c r="H298" s="37"/>
    </row>
    <row r="299" spans="1:8" ht="17.25" customHeight="1" x14ac:dyDescent="0.25">
      <c r="A299" s="38" t="s">
        <v>585</v>
      </c>
      <c r="B299" s="32" t="s">
        <v>134</v>
      </c>
      <c r="C299" s="43" t="s">
        <v>718</v>
      </c>
      <c r="D299" s="34">
        <f t="shared" si="56"/>
        <v>4738605</v>
      </c>
      <c r="E299" s="34">
        <f t="shared" si="56"/>
        <v>4738605</v>
      </c>
      <c r="F299" s="35">
        <f t="shared" si="49"/>
        <v>0</v>
      </c>
      <c r="G299" s="36"/>
      <c r="H299" s="37"/>
    </row>
    <row r="300" spans="1:8" ht="33" customHeight="1" x14ac:dyDescent="0.25">
      <c r="A300" s="38" t="s">
        <v>586</v>
      </c>
      <c r="B300" s="32" t="s">
        <v>134</v>
      </c>
      <c r="C300" s="43" t="s">
        <v>719</v>
      </c>
      <c r="D300" s="34">
        <v>4738605</v>
      </c>
      <c r="E300" s="34">
        <v>4738605</v>
      </c>
      <c r="F300" s="35">
        <f t="shared" si="49"/>
        <v>0</v>
      </c>
      <c r="G300" s="36"/>
      <c r="H300" s="37"/>
    </row>
    <row r="301" spans="1:8" ht="39" customHeight="1" x14ac:dyDescent="0.25">
      <c r="A301" s="38" t="s">
        <v>983</v>
      </c>
      <c r="B301" s="32" t="s">
        <v>134</v>
      </c>
      <c r="C301" s="43" t="s">
        <v>982</v>
      </c>
      <c r="D301" s="34">
        <f t="shared" ref="D301:E303" si="57">D302</f>
        <v>28072300</v>
      </c>
      <c r="E301" s="34">
        <f t="shared" si="57"/>
        <v>0</v>
      </c>
      <c r="F301" s="35">
        <f t="shared" si="49"/>
        <v>28072300</v>
      </c>
      <c r="G301" s="36"/>
      <c r="H301" s="37"/>
    </row>
    <row r="302" spans="1:8" ht="18" customHeight="1" x14ac:dyDescent="0.25">
      <c r="A302" s="38" t="s">
        <v>649</v>
      </c>
      <c r="B302" s="32" t="s">
        <v>134</v>
      </c>
      <c r="C302" s="43" t="s">
        <v>986</v>
      </c>
      <c r="D302" s="34">
        <f t="shared" si="57"/>
        <v>28072300</v>
      </c>
      <c r="E302" s="34">
        <f t="shared" si="57"/>
        <v>0</v>
      </c>
      <c r="F302" s="35">
        <f t="shared" si="49"/>
        <v>28072300</v>
      </c>
      <c r="G302" s="36"/>
      <c r="H302" s="37"/>
    </row>
    <row r="303" spans="1:8" ht="29.25" customHeight="1" x14ac:dyDescent="0.25">
      <c r="A303" s="38" t="s">
        <v>984</v>
      </c>
      <c r="B303" s="32" t="s">
        <v>134</v>
      </c>
      <c r="C303" s="43" t="s">
        <v>987</v>
      </c>
      <c r="D303" s="34">
        <f t="shared" si="57"/>
        <v>28072300</v>
      </c>
      <c r="E303" s="34">
        <f t="shared" si="57"/>
        <v>0</v>
      </c>
      <c r="F303" s="35">
        <f t="shared" si="49"/>
        <v>28072300</v>
      </c>
      <c r="G303" s="36"/>
      <c r="H303" s="37"/>
    </row>
    <row r="304" spans="1:8" ht="16.5" customHeight="1" x14ac:dyDescent="0.25">
      <c r="A304" s="38" t="s">
        <v>985</v>
      </c>
      <c r="B304" s="32" t="s">
        <v>134</v>
      </c>
      <c r="C304" s="43" t="s">
        <v>988</v>
      </c>
      <c r="D304" s="34">
        <v>28072300</v>
      </c>
      <c r="E304" s="34">
        <v>0</v>
      </c>
      <c r="F304" s="35">
        <f t="shared" si="49"/>
        <v>28072300</v>
      </c>
      <c r="G304" s="36"/>
      <c r="H304" s="37"/>
    </row>
    <row r="305" spans="1:8" ht="36.75" customHeight="1" x14ac:dyDescent="0.25">
      <c r="A305" s="38" t="s">
        <v>599</v>
      </c>
      <c r="B305" s="32" t="s">
        <v>134</v>
      </c>
      <c r="C305" s="43" t="s">
        <v>720</v>
      </c>
      <c r="D305" s="34">
        <f>D306+D313</f>
        <v>1710700</v>
      </c>
      <c r="E305" s="34">
        <f>E306+E313</f>
        <v>1088331.98</v>
      </c>
      <c r="F305" s="35">
        <f t="shared" si="49"/>
        <v>622368.02</v>
      </c>
      <c r="G305" s="36"/>
      <c r="H305" s="37"/>
    </row>
    <row r="306" spans="1:8" ht="29.25" customHeight="1" x14ac:dyDescent="0.25">
      <c r="A306" s="38" t="s">
        <v>600</v>
      </c>
      <c r="B306" s="32" t="s">
        <v>134</v>
      </c>
      <c r="C306" s="43" t="s">
        <v>721</v>
      </c>
      <c r="D306" s="34">
        <f t="shared" ref="D306:E308" si="58">D307</f>
        <v>185000</v>
      </c>
      <c r="E306" s="34">
        <f t="shared" si="58"/>
        <v>0</v>
      </c>
      <c r="F306" s="35">
        <f t="shared" si="49"/>
        <v>185000</v>
      </c>
      <c r="G306" s="36"/>
      <c r="H306" s="37"/>
    </row>
    <row r="307" spans="1:8" ht="23.25" customHeight="1" x14ac:dyDescent="0.25">
      <c r="A307" s="38" t="s">
        <v>522</v>
      </c>
      <c r="B307" s="32" t="s">
        <v>134</v>
      </c>
      <c r="C307" s="43" t="s">
        <v>722</v>
      </c>
      <c r="D307" s="34">
        <f t="shared" si="58"/>
        <v>185000</v>
      </c>
      <c r="E307" s="34">
        <f t="shared" si="58"/>
        <v>0</v>
      </c>
      <c r="F307" s="35">
        <f t="shared" si="49"/>
        <v>185000</v>
      </c>
      <c r="G307" s="36"/>
      <c r="H307" s="37"/>
    </row>
    <row r="308" spans="1:8" ht="26.25" customHeight="1" x14ac:dyDescent="0.25">
      <c r="A308" s="38" t="s">
        <v>523</v>
      </c>
      <c r="B308" s="32" t="s">
        <v>134</v>
      </c>
      <c r="C308" s="43" t="s">
        <v>723</v>
      </c>
      <c r="D308" s="34">
        <f t="shared" si="58"/>
        <v>185000</v>
      </c>
      <c r="E308" s="34">
        <f t="shared" si="58"/>
        <v>0</v>
      </c>
      <c r="F308" s="35">
        <f t="shared" si="49"/>
        <v>185000</v>
      </c>
      <c r="G308" s="36"/>
      <c r="H308" s="37"/>
    </row>
    <row r="309" spans="1:8" ht="26.25" customHeight="1" x14ac:dyDescent="0.25">
      <c r="A309" s="38" t="s">
        <v>524</v>
      </c>
      <c r="B309" s="32" t="s">
        <v>134</v>
      </c>
      <c r="C309" s="43" t="s">
        <v>724</v>
      </c>
      <c r="D309" s="34">
        <f>185000</f>
        <v>185000</v>
      </c>
      <c r="E309" s="34">
        <v>0</v>
      </c>
      <c r="F309" s="35">
        <f t="shared" si="49"/>
        <v>185000</v>
      </c>
      <c r="G309" s="36"/>
      <c r="H309" s="37"/>
    </row>
    <row r="310" spans="1:8" ht="36.75" customHeight="1" x14ac:dyDescent="0.25">
      <c r="A310" s="38" t="s">
        <v>601</v>
      </c>
      <c r="B310" s="32" t="s">
        <v>134</v>
      </c>
      <c r="C310" s="43" t="s">
        <v>258</v>
      </c>
      <c r="D310" s="34">
        <f>D311</f>
        <v>1525700</v>
      </c>
      <c r="E310" s="34">
        <f>E311</f>
        <v>1088331.98</v>
      </c>
      <c r="F310" s="35">
        <f t="shared" si="49"/>
        <v>437368.02</v>
      </c>
      <c r="G310" s="36"/>
      <c r="H310" s="37"/>
    </row>
    <row r="311" spans="1:8" ht="23.25" customHeight="1" x14ac:dyDescent="0.25">
      <c r="A311" s="38" t="s">
        <v>522</v>
      </c>
      <c r="B311" s="32" t="s">
        <v>134</v>
      </c>
      <c r="C311" s="43" t="s">
        <v>725</v>
      </c>
      <c r="D311" s="34">
        <f>D312</f>
        <v>1525700</v>
      </c>
      <c r="E311" s="34">
        <f>E312</f>
        <v>1088331.98</v>
      </c>
      <c r="F311" s="35">
        <f t="shared" si="49"/>
        <v>437368.02</v>
      </c>
      <c r="G311" s="36"/>
      <c r="H311" s="37"/>
    </row>
    <row r="312" spans="1:8" ht="26.25" customHeight="1" x14ac:dyDescent="0.25">
      <c r="A312" s="38" t="s">
        <v>523</v>
      </c>
      <c r="B312" s="32" t="s">
        <v>134</v>
      </c>
      <c r="C312" s="43" t="s">
        <v>726</v>
      </c>
      <c r="D312" s="34">
        <f t="shared" ref="D312:E312" si="59">D313</f>
        <v>1525700</v>
      </c>
      <c r="E312" s="34">
        <f t="shared" si="59"/>
        <v>1088331.98</v>
      </c>
      <c r="F312" s="35">
        <f t="shared" si="49"/>
        <v>437368.02</v>
      </c>
      <c r="G312" s="36"/>
      <c r="H312" s="37"/>
    </row>
    <row r="313" spans="1:8" ht="21.75" customHeight="1" x14ac:dyDescent="0.25">
      <c r="A313" s="38" t="s">
        <v>524</v>
      </c>
      <c r="B313" s="32" t="s">
        <v>134</v>
      </c>
      <c r="C313" s="43" t="s">
        <v>727</v>
      </c>
      <c r="D313" s="34">
        <f>1525700</f>
        <v>1525700</v>
      </c>
      <c r="E313" s="34">
        <v>1088331.98</v>
      </c>
      <c r="F313" s="35">
        <f t="shared" si="49"/>
        <v>437368.02</v>
      </c>
      <c r="G313" s="36"/>
      <c r="H313" s="37"/>
    </row>
    <row r="314" spans="1:8" ht="15" customHeight="1" x14ac:dyDescent="0.25">
      <c r="A314" s="38" t="s">
        <v>602</v>
      </c>
      <c r="B314" s="32" t="s">
        <v>134</v>
      </c>
      <c r="C314" s="43" t="s">
        <v>259</v>
      </c>
      <c r="D314" s="34">
        <f>D315</f>
        <v>13248103</v>
      </c>
      <c r="E314" s="34">
        <f>E315</f>
        <v>11036534.870000001</v>
      </c>
      <c r="F314" s="35">
        <f t="shared" si="49"/>
        <v>2211568.129999999</v>
      </c>
      <c r="G314" s="36"/>
      <c r="H314" s="37"/>
    </row>
    <row r="315" spans="1:8" ht="33" customHeight="1" x14ac:dyDescent="0.25">
      <c r="A315" s="38" t="s">
        <v>603</v>
      </c>
      <c r="B315" s="32" t="s">
        <v>134</v>
      </c>
      <c r="C315" s="43" t="s">
        <v>728</v>
      </c>
      <c r="D315" s="34">
        <f>D316+D324+D342</f>
        <v>13248103</v>
      </c>
      <c r="E315" s="34">
        <f>E316+E324+E342</f>
        <v>11036534.870000001</v>
      </c>
      <c r="F315" s="35">
        <f t="shared" si="49"/>
        <v>2211568.129999999</v>
      </c>
      <c r="G315" s="36"/>
      <c r="H315" s="37"/>
    </row>
    <row r="316" spans="1:8" ht="27" customHeight="1" x14ac:dyDescent="0.25">
      <c r="A316" s="38" t="s">
        <v>604</v>
      </c>
      <c r="B316" s="32" t="s">
        <v>134</v>
      </c>
      <c r="C316" s="43" t="s">
        <v>729</v>
      </c>
      <c r="D316" s="34">
        <f>D317</f>
        <v>9493000</v>
      </c>
      <c r="E316" s="34">
        <f>E317</f>
        <v>9493000</v>
      </c>
      <c r="F316" s="35">
        <f t="shared" si="49"/>
        <v>0</v>
      </c>
      <c r="G316" s="36"/>
      <c r="H316" s="37"/>
    </row>
    <row r="317" spans="1:8" ht="35.25" customHeight="1" x14ac:dyDescent="0.25">
      <c r="A317" s="38" t="s">
        <v>605</v>
      </c>
      <c r="B317" s="32" t="s">
        <v>134</v>
      </c>
      <c r="C317" s="43" t="s">
        <v>730</v>
      </c>
      <c r="D317" s="34">
        <f>D318+D322</f>
        <v>9493000</v>
      </c>
      <c r="E317" s="34">
        <f>E318+E322</f>
        <v>9493000</v>
      </c>
      <c r="F317" s="35">
        <f t="shared" si="49"/>
        <v>0</v>
      </c>
      <c r="G317" s="36"/>
      <c r="H317" s="37"/>
    </row>
    <row r="318" spans="1:8" ht="27" customHeight="1" x14ac:dyDescent="0.25">
      <c r="A318" s="38" t="s">
        <v>606</v>
      </c>
      <c r="B318" s="32" t="s">
        <v>134</v>
      </c>
      <c r="C318" s="43" t="s">
        <v>260</v>
      </c>
      <c r="D318" s="34">
        <f>D319</f>
        <v>5293000</v>
      </c>
      <c r="E318" s="34">
        <f>E319</f>
        <v>5293000</v>
      </c>
      <c r="F318" s="35">
        <f t="shared" si="49"/>
        <v>0</v>
      </c>
      <c r="G318" s="36"/>
      <c r="H318" s="37"/>
    </row>
    <row r="319" spans="1:8" ht="15" customHeight="1" x14ac:dyDescent="0.25">
      <c r="A319" s="38" t="s">
        <v>531</v>
      </c>
      <c r="B319" s="32" t="s">
        <v>134</v>
      </c>
      <c r="C319" s="43" t="s">
        <v>261</v>
      </c>
      <c r="D319" s="34">
        <f t="shared" ref="D319:E319" si="60">D320</f>
        <v>5293000</v>
      </c>
      <c r="E319" s="34">
        <f t="shared" si="60"/>
        <v>5293000</v>
      </c>
      <c r="F319" s="35">
        <f t="shared" si="49"/>
        <v>0</v>
      </c>
      <c r="G319" s="36"/>
      <c r="H319" s="37"/>
    </row>
    <row r="320" spans="1:8" ht="33" customHeight="1" x14ac:dyDescent="0.25">
      <c r="A320" s="38" t="s">
        <v>607</v>
      </c>
      <c r="B320" s="32" t="s">
        <v>134</v>
      </c>
      <c r="C320" s="43" t="s">
        <v>262</v>
      </c>
      <c r="D320" s="34">
        <f>5293000</f>
        <v>5293000</v>
      </c>
      <c r="E320" s="34">
        <f>5293000</f>
        <v>5293000</v>
      </c>
      <c r="F320" s="35">
        <f t="shared" si="49"/>
        <v>0</v>
      </c>
      <c r="G320" s="36"/>
      <c r="H320" s="37"/>
    </row>
    <row r="321" spans="1:8" ht="37.5" customHeight="1" x14ac:dyDescent="0.25">
      <c r="A321" s="38" t="s">
        <v>608</v>
      </c>
      <c r="B321" s="32" t="s">
        <v>134</v>
      </c>
      <c r="C321" s="43" t="s">
        <v>263</v>
      </c>
      <c r="D321" s="34">
        <f>D322</f>
        <v>4200000</v>
      </c>
      <c r="E321" s="34">
        <f>E322</f>
        <v>4200000</v>
      </c>
      <c r="F321" s="35">
        <f t="shared" si="49"/>
        <v>0</v>
      </c>
      <c r="G321" s="36"/>
      <c r="H321" s="37"/>
    </row>
    <row r="322" spans="1:8" ht="17.25" customHeight="1" x14ac:dyDescent="0.25">
      <c r="A322" s="38" t="s">
        <v>531</v>
      </c>
      <c r="B322" s="32" t="s">
        <v>134</v>
      </c>
      <c r="C322" s="43" t="s">
        <v>731</v>
      </c>
      <c r="D322" s="34">
        <f>D323</f>
        <v>4200000</v>
      </c>
      <c r="E322" s="34">
        <f>E323</f>
        <v>4200000</v>
      </c>
      <c r="F322" s="35">
        <f t="shared" si="49"/>
        <v>0</v>
      </c>
      <c r="G322" s="36"/>
      <c r="H322" s="37"/>
    </row>
    <row r="323" spans="1:8" ht="35.25" customHeight="1" x14ac:dyDescent="0.25">
      <c r="A323" s="38" t="s">
        <v>607</v>
      </c>
      <c r="B323" s="32" t="s">
        <v>134</v>
      </c>
      <c r="C323" s="43" t="s">
        <v>732</v>
      </c>
      <c r="D323" s="34">
        <v>4200000</v>
      </c>
      <c r="E323" s="34">
        <v>4200000</v>
      </c>
      <c r="F323" s="35">
        <f t="shared" si="49"/>
        <v>0</v>
      </c>
      <c r="G323" s="36"/>
      <c r="H323" s="37"/>
    </row>
    <row r="324" spans="1:8" ht="17.25" customHeight="1" x14ac:dyDescent="0.25">
      <c r="A324" s="38" t="s">
        <v>609</v>
      </c>
      <c r="B324" s="32" t="s">
        <v>134</v>
      </c>
      <c r="C324" s="43" t="s">
        <v>733</v>
      </c>
      <c r="D324" s="34">
        <f>D325+D337</f>
        <v>3494103</v>
      </c>
      <c r="E324" s="34">
        <f>E325+E337</f>
        <v>1473887.31</v>
      </c>
      <c r="F324" s="35">
        <f t="shared" si="49"/>
        <v>2020215.69</v>
      </c>
      <c r="G324" s="36"/>
      <c r="H324" s="37"/>
    </row>
    <row r="325" spans="1:8" ht="15.75" customHeight="1" x14ac:dyDescent="0.25">
      <c r="A325" s="38" t="s">
        <v>610</v>
      </c>
      <c r="B325" s="32" t="s">
        <v>134</v>
      </c>
      <c r="C325" s="43" t="s">
        <v>734</v>
      </c>
      <c r="D325" s="34">
        <f>D326+D330+D334</f>
        <v>2914103</v>
      </c>
      <c r="E325" s="34">
        <f>E326+E330+E334</f>
        <v>1473887.31</v>
      </c>
      <c r="F325" s="35">
        <f t="shared" si="49"/>
        <v>1440215.69</v>
      </c>
      <c r="G325" s="36"/>
      <c r="H325" s="37"/>
    </row>
    <row r="326" spans="1:8" ht="36" customHeight="1" x14ac:dyDescent="0.25">
      <c r="A326" s="38" t="s">
        <v>377</v>
      </c>
      <c r="B326" s="32" t="s">
        <v>134</v>
      </c>
      <c r="C326" s="43" t="s">
        <v>264</v>
      </c>
      <c r="D326" s="34">
        <f t="shared" ref="D326:E328" si="61">D327</f>
        <v>266250</v>
      </c>
      <c r="E326" s="34">
        <f t="shared" si="61"/>
        <v>0</v>
      </c>
      <c r="F326" s="35">
        <f t="shared" si="49"/>
        <v>266250</v>
      </c>
      <c r="G326" s="36"/>
      <c r="H326" s="37"/>
    </row>
    <row r="327" spans="1:8" ht="23.25" customHeight="1" x14ac:dyDescent="0.25">
      <c r="A327" s="38" t="s">
        <v>522</v>
      </c>
      <c r="B327" s="32" t="s">
        <v>134</v>
      </c>
      <c r="C327" s="43" t="s">
        <v>735</v>
      </c>
      <c r="D327" s="34">
        <f t="shared" si="61"/>
        <v>266250</v>
      </c>
      <c r="E327" s="34">
        <f t="shared" si="61"/>
        <v>0</v>
      </c>
      <c r="F327" s="35">
        <f t="shared" si="49"/>
        <v>266250</v>
      </c>
      <c r="G327" s="36"/>
      <c r="H327" s="37"/>
    </row>
    <row r="328" spans="1:8" ht="27" customHeight="1" x14ac:dyDescent="0.25">
      <c r="A328" s="38" t="s">
        <v>523</v>
      </c>
      <c r="B328" s="32" t="s">
        <v>134</v>
      </c>
      <c r="C328" s="43" t="s">
        <v>736</v>
      </c>
      <c r="D328" s="34">
        <f t="shared" si="61"/>
        <v>266250</v>
      </c>
      <c r="E328" s="34">
        <f t="shared" si="61"/>
        <v>0</v>
      </c>
      <c r="F328" s="35">
        <f t="shared" si="49"/>
        <v>266250</v>
      </c>
      <c r="G328" s="36"/>
      <c r="H328" s="37"/>
    </row>
    <row r="329" spans="1:8" ht="27" customHeight="1" x14ac:dyDescent="0.25">
      <c r="A329" s="38" t="s">
        <v>524</v>
      </c>
      <c r="B329" s="32" t="s">
        <v>134</v>
      </c>
      <c r="C329" s="43" t="s">
        <v>737</v>
      </c>
      <c r="D329" s="34">
        <f>266250</f>
        <v>266250</v>
      </c>
      <c r="E329" s="34">
        <v>0</v>
      </c>
      <c r="F329" s="35">
        <f t="shared" si="49"/>
        <v>266250</v>
      </c>
      <c r="G329" s="36"/>
      <c r="H329" s="37"/>
    </row>
    <row r="330" spans="1:8" ht="33.75" customHeight="1" x14ac:dyDescent="0.25">
      <c r="A330" s="38" t="s">
        <v>611</v>
      </c>
      <c r="B330" s="32" t="s">
        <v>134</v>
      </c>
      <c r="C330" s="43" t="s">
        <v>265</v>
      </c>
      <c r="D330" s="34">
        <f t="shared" ref="D330:E332" si="62">D331</f>
        <v>1524553</v>
      </c>
      <c r="E330" s="34">
        <f t="shared" si="62"/>
        <v>1473887.31</v>
      </c>
      <c r="F330" s="35">
        <f t="shared" si="49"/>
        <v>50665.689999999944</v>
      </c>
      <c r="G330" s="36"/>
      <c r="H330" s="37"/>
    </row>
    <row r="331" spans="1:8" ht="26.25" customHeight="1" x14ac:dyDescent="0.25">
      <c r="A331" s="38" t="s">
        <v>522</v>
      </c>
      <c r="B331" s="32" t="s">
        <v>134</v>
      </c>
      <c r="C331" s="43" t="s">
        <v>738</v>
      </c>
      <c r="D331" s="34">
        <f t="shared" si="62"/>
        <v>1524553</v>
      </c>
      <c r="E331" s="34">
        <f t="shared" si="62"/>
        <v>1473887.31</v>
      </c>
      <c r="F331" s="35">
        <f t="shared" si="49"/>
        <v>50665.689999999944</v>
      </c>
      <c r="G331" s="36"/>
      <c r="H331" s="37"/>
    </row>
    <row r="332" spans="1:8" ht="27" customHeight="1" x14ac:dyDescent="0.25">
      <c r="A332" s="38" t="s">
        <v>523</v>
      </c>
      <c r="B332" s="32" t="s">
        <v>134</v>
      </c>
      <c r="C332" s="43" t="s">
        <v>739</v>
      </c>
      <c r="D332" s="34">
        <f t="shared" si="62"/>
        <v>1524553</v>
      </c>
      <c r="E332" s="34">
        <f t="shared" si="62"/>
        <v>1473887.31</v>
      </c>
      <c r="F332" s="35">
        <f t="shared" si="49"/>
        <v>50665.689999999944</v>
      </c>
      <c r="G332" s="36"/>
      <c r="H332" s="37"/>
    </row>
    <row r="333" spans="1:8" ht="24.75" customHeight="1" x14ac:dyDescent="0.25">
      <c r="A333" s="38" t="s">
        <v>524</v>
      </c>
      <c r="B333" s="32" t="s">
        <v>134</v>
      </c>
      <c r="C333" s="43" t="s">
        <v>740</v>
      </c>
      <c r="D333" s="34">
        <f>1524553</f>
        <v>1524553</v>
      </c>
      <c r="E333" s="34">
        <v>1473887.31</v>
      </c>
      <c r="F333" s="35">
        <f t="shared" si="49"/>
        <v>50665.689999999944</v>
      </c>
      <c r="G333" s="36"/>
      <c r="H333" s="37"/>
    </row>
    <row r="334" spans="1:8" ht="37.5" customHeight="1" x14ac:dyDescent="0.25">
      <c r="A334" s="38" t="s">
        <v>998</v>
      </c>
      <c r="B334" s="32" t="s">
        <v>134</v>
      </c>
      <c r="C334" s="43" t="s">
        <v>992</v>
      </c>
      <c r="D334" s="34">
        <f>D335</f>
        <v>1123300</v>
      </c>
      <c r="E334" s="34">
        <f>E335</f>
        <v>0</v>
      </c>
      <c r="F334" s="35">
        <f t="shared" si="49"/>
        <v>1123300</v>
      </c>
      <c r="G334" s="36"/>
      <c r="H334" s="37"/>
    </row>
    <row r="335" spans="1:8" ht="19.5" customHeight="1" x14ac:dyDescent="0.25">
      <c r="A335" s="38" t="s">
        <v>531</v>
      </c>
      <c r="B335" s="32" t="s">
        <v>134</v>
      </c>
      <c r="C335" s="43" t="s">
        <v>993</v>
      </c>
      <c r="D335" s="34">
        <f>D336</f>
        <v>1123300</v>
      </c>
      <c r="E335" s="34">
        <f>E336</f>
        <v>0</v>
      </c>
      <c r="F335" s="35">
        <f t="shared" si="49"/>
        <v>1123300</v>
      </c>
      <c r="G335" s="36"/>
      <c r="H335" s="37"/>
    </row>
    <row r="336" spans="1:8" ht="37.5" customHeight="1" x14ac:dyDescent="0.25">
      <c r="A336" s="38" t="s">
        <v>607</v>
      </c>
      <c r="B336" s="32" t="s">
        <v>134</v>
      </c>
      <c r="C336" s="43" t="s">
        <v>994</v>
      </c>
      <c r="D336" s="34">
        <v>1123300</v>
      </c>
      <c r="E336" s="34">
        <v>0</v>
      </c>
      <c r="F336" s="35">
        <f t="shared" si="49"/>
        <v>1123300</v>
      </c>
      <c r="G336" s="36"/>
      <c r="H336" s="37"/>
    </row>
    <row r="337" spans="1:8" ht="25.5" customHeight="1" x14ac:dyDescent="0.25">
      <c r="A337" s="38" t="s">
        <v>612</v>
      </c>
      <c r="B337" s="32" t="s">
        <v>134</v>
      </c>
      <c r="C337" s="43" t="s">
        <v>741</v>
      </c>
      <c r="D337" s="34">
        <f t="shared" ref="D337:E340" si="63">D338</f>
        <v>580000</v>
      </c>
      <c r="E337" s="34">
        <f t="shared" si="63"/>
        <v>0</v>
      </c>
      <c r="F337" s="35">
        <f t="shared" si="49"/>
        <v>580000</v>
      </c>
      <c r="G337" s="36"/>
      <c r="H337" s="37"/>
    </row>
    <row r="338" spans="1:8" ht="33.75" customHeight="1" x14ac:dyDescent="0.25">
      <c r="A338" s="38" t="s">
        <v>613</v>
      </c>
      <c r="B338" s="32" t="s">
        <v>134</v>
      </c>
      <c r="C338" s="43" t="s">
        <v>742</v>
      </c>
      <c r="D338" s="34">
        <f t="shared" si="63"/>
        <v>580000</v>
      </c>
      <c r="E338" s="34">
        <f t="shared" si="63"/>
        <v>0</v>
      </c>
      <c r="F338" s="35">
        <f t="shared" ref="F338:F401" si="64">D338-E338</f>
        <v>580000</v>
      </c>
      <c r="G338" s="36"/>
      <c r="H338" s="37"/>
    </row>
    <row r="339" spans="1:8" ht="21.75" customHeight="1" x14ac:dyDescent="0.25">
      <c r="A339" s="38" t="s">
        <v>522</v>
      </c>
      <c r="B339" s="32" t="s">
        <v>134</v>
      </c>
      <c r="C339" s="43" t="s">
        <v>743</v>
      </c>
      <c r="D339" s="34">
        <f t="shared" si="63"/>
        <v>580000</v>
      </c>
      <c r="E339" s="34">
        <f t="shared" si="63"/>
        <v>0</v>
      </c>
      <c r="F339" s="35">
        <f t="shared" si="64"/>
        <v>580000</v>
      </c>
      <c r="G339" s="36"/>
      <c r="H339" s="37"/>
    </row>
    <row r="340" spans="1:8" ht="27" customHeight="1" x14ac:dyDescent="0.25">
      <c r="A340" s="38" t="s">
        <v>523</v>
      </c>
      <c r="B340" s="32" t="s">
        <v>134</v>
      </c>
      <c r="C340" s="43" t="s">
        <v>744</v>
      </c>
      <c r="D340" s="34">
        <f t="shared" si="63"/>
        <v>580000</v>
      </c>
      <c r="E340" s="34">
        <f t="shared" si="63"/>
        <v>0</v>
      </c>
      <c r="F340" s="35">
        <f t="shared" si="64"/>
        <v>580000</v>
      </c>
      <c r="G340" s="36"/>
      <c r="H340" s="37"/>
    </row>
    <row r="341" spans="1:8" ht="21.75" customHeight="1" x14ac:dyDescent="0.25">
      <c r="A341" s="38" t="s">
        <v>524</v>
      </c>
      <c r="B341" s="32" t="s">
        <v>134</v>
      </c>
      <c r="C341" s="43" t="s">
        <v>745</v>
      </c>
      <c r="D341" s="34">
        <f>580000</f>
        <v>580000</v>
      </c>
      <c r="E341" s="34">
        <v>0</v>
      </c>
      <c r="F341" s="35">
        <f t="shared" si="64"/>
        <v>580000</v>
      </c>
      <c r="G341" s="36"/>
      <c r="H341" s="37"/>
    </row>
    <row r="342" spans="1:8" ht="22.5" customHeight="1" x14ac:dyDescent="0.25">
      <c r="A342" s="38" t="s">
        <v>614</v>
      </c>
      <c r="B342" s="32" t="s">
        <v>134</v>
      </c>
      <c r="C342" s="43" t="s">
        <v>746</v>
      </c>
      <c r="D342" s="34">
        <f>D343</f>
        <v>261000</v>
      </c>
      <c r="E342" s="34">
        <f>E343</f>
        <v>69647.56</v>
      </c>
      <c r="F342" s="35">
        <f t="shared" si="64"/>
        <v>191352.44</v>
      </c>
      <c r="G342" s="36"/>
      <c r="H342" s="37"/>
    </row>
    <row r="343" spans="1:8" ht="21.75" customHeight="1" x14ac:dyDescent="0.25">
      <c r="A343" s="38" t="s">
        <v>615</v>
      </c>
      <c r="B343" s="32" t="s">
        <v>134</v>
      </c>
      <c r="C343" s="43" t="s">
        <v>747</v>
      </c>
      <c r="D343" s="34">
        <f>D344</f>
        <v>261000</v>
      </c>
      <c r="E343" s="34">
        <f>E344</f>
        <v>69647.56</v>
      </c>
      <c r="F343" s="35">
        <f t="shared" si="64"/>
        <v>191352.44</v>
      </c>
      <c r="G343" s="36"/>
      <c r="H343" s="37"/>
    </row>
    <row r="344" spans="1:8" ht="33.75" customHeight="1" x14ac:dyDescent="0.25">
      <c r="A344" s="38" t="s">
        <v>616</v>
      </c>
      <c r="B344" s="32" t="s">
        <v>134</v>
      </c>
      <c r="C344" s="43" t="s">
        <v>266</v>
      </c>
      <c r="D344" s="34">
        <f t="shared" ref="D344:E346" si="65">D345</f>
        <v>261000</v>
      </c>
      <c r="E344" s="34">
        <f t="shared" si="65"/>
        <v>69647.56</v>
      </c>
      <c r="F344" s="35">
        <f t="shared" si="64"/>
        <v>191352.44</v>
      </c>
      <c r="G344" s="36"/>
      <c r="H344" s="37"/>
    </row>
    <row r="345" spans="1:8" ht="22.5" customHeight="1" x14ac:dyDescent="0.25">
      <c r="A345" s="38" t="s">
        <v>522</v>
      </c>
      <c r="B345" s="32" t="s">
        <v>134</v>
      </c>
      <c r="C345" s="43" t="s">
        <v>748</v>
      </c>
      <c r="D345" s="34">
        <f t="shared" si="65"/>
        <v>261000</v>
      </c>
      <c r="E345" s="34">
        <f t="shared" si="65"/>
        <v>69647.56</v>
      </c>
      <c r="F345" s="35">
        <f t="shared" si="64"/>
        <v>191352.44</v>
      </c>
      <c r="G345" s="36"/>
      <c r="H345" s="37"/>
    </row>
    <row r="346" spans="1:8" ht="23.25" customHeight="1" x14ac:dyDescent="0.25">
      <c r="A346" s="38" t="s">
        <v>523</v>
      </c>
      <c r="B346" s="32" t="s">
        <v>134</v>
      </c>
      <c r="C346" s="43" t="s">
        <v>749</v>
      </c>
      <c r="D346" s="34">
        <f t="shared" si="65"/>
        <v>261000</v>
      </c>
      <c r="E346" s="34">
        <f t="shared" si="65"/>
        <v>69647.56</v>
      </c>
      <c r="F346" s="35">
        <f t="shared" si="64"/>
        <v>191352.44</v>
      </c>
      <c r="G346" s="36"/>
      <c r="H346" s="37"/>
    </row>
    <row r="347" spans="1:8" ht="25.5" customHeight="1" x14ac:dyDescent="0.25">
      <c r="A347" s="38" t="s">
        <v>524</v>
      </c>
      <c r="B347" s="32" t="s">
        <v>134</v>
      </c>
      <c r="C347" s="43" t="s">
        <v>750</v>
      </c>
      <c r="D347" s="34">
        <f>261000</f>
        <v>261000</v>
      </c>
      <c r="E347" s="34">
        <v>69647.56</v>
      </c>
      <c r="F347" s="35">
        <f t="shared" si="64"/>
        <v>191352.44</v>
      </c>
      <c r="G347" s="36"/>
      <c r="H347" s="37"/>
    </row>
    <row r="348" spans="1:8" ht="15" customHeight="1" x14ac:dyDescent="0.25">
      <c r="A348" s="38" t="s">
        <v>617</v>
      </c>
      <c r="B348" s="32" t="s">
        <v>134</v>
      </c>
      <c r="C348" s="43" t="s">
        <v>267</v>
      </c>
      <c r="D348" s="34">
        <f>D349+D397</f>
        <v>17030420</v>
      </c>
      <c r="E348" s="34">
        <f>E349+E397</f>
        <v>12256905.109999999</v>
      </c>
      <c r="F348" s="35">
        <f t="shared" si="64"/>
        <v>4773514.8900000006</v>
      </c>
      <c r="G348" s="36"/>
      <c r="H348" s="37"/>
    </row>
    <row r="349" spans="1:8" ht="38.25" customHeight="1" x14ac:dyDescent="0.25">
      <c r="A349" s="38" t="s">
        <v>618</v>
      </c>
      <c r="B349" s="32" t="s">
        <v>134</v>
      </c>
      <c r="C349" s="43" t="s">
        <v>751</v>
      </c>
      <c r="D349" s="34">
        <f>D350+D361+D372+D383+D388</f>
        <v>16497920</v>
      </c>
      <c r="E349" s="34">
        <f>E350+E361+E372+E383+E388</f>
        <v>12256905.109999999</v>
      </c>
      <c r="F349" s="35">
        <f t="shared" si="64"/>
        <v>4241014.8900000006</v>
      </c>
      <c r="G349" s="36"/>
      <c r="H349" s="37"/>
    </row>
    <row r="350" spans="1:8" ht="17.25" customHeight="1" x14ac:dyDescent="0.25">
      <c r="A350" s="38" t="s">
        <v>619</v>
      </c>
      <c r="B350" s="32" t="s">
        <v>134</v>
      </c>
      <c r="C350" s="43" t="s">
        <v>752</v>
      </c>
      <c r="D350" s="34">
        <f>D351+D356</f>
        <v>9679290</v>
      </c>
      <c r="E350" s="34">
        <f>E351+E356</f>
        <v>7944900.8399999999</v>
      </c>
      <c r="F350" s="35">
        <f t="shared" si="64"/>
        <v>1734389.1600000001</v>
      </c>
      <c r="G350" s="36"/>
      <c r="H350" s="37"/>
    </row>
    <row r="351" spans="1:8" ht="50.25" customHeight="1" x14ac:dyDescent="0.25">
      <c r="A351" s="38" t="s">
        <v>620</v>
      </c>
      <c r="B351" s="32" t="s">
        <v>134</v>
      </c>
      <c r="C351" s="43" t="s">
        <v>753</v>
      </c>
      <c r="D351" s="34">
        <f t="shared" ref="D351:E354" si="66">D352</f>
        <v>4908510</v>
      </c>
      <c r="E351" s="34">
        <f t="shared" si="66"/>
        <v>3495275.54</v>
      </c>
      <c r="F351" s="35">
        <f t="shared" si="64"/>
        <v>1413234.46</v>
      </c>
      <c r="G351" s="36"/>
      <c r="H351" s="37"/>
    </row>
    <row r="352" spans="1:8" ht="43.5" customHeight="1" x14ac:dyDescent="0.25">
      <c r="A352" s="38" t="s">
        <v>527</v>
      </c>
      <c r="B352" s="32" t="s">
        <v>134</v>
      </c>
      <c r="C352" s="43" t="s">
        <v>268</v>
      </c>
      <c r="D352" s="34">
        <f t="shared" si="66"/>
        <v>4908510</v>
      </c>
      <c r="E352" s="34">
        <f t="shared" si="66"/>
        <v>3495275.54</v>
      </c>
      <c r="F352" s="35">
        <f t="shared" si="64"/>
        <v>1413234.46</v>
      </c>
      <c r="G352" s="36"/>
      <c r="H352" s="37"/>
    </row>
    <row r="353" spans="1:8" ht="21.75" customHeight="1" x14ac:dyDescent="0.25">
      <c r="A353" s="38" t="s">
        <v>522</v>
      </c>
      <c r="B353" s="32" t="s">
        <v>134</v>
      </c>
      <c r="C353" s="43" t="s">
        <v>269</v>
      </c>
      <c r="D353" s="34">
        <f t="shared" si="66"/>
        <v>4908510</v>
      </c>
      <c r="E353" s="34">
        <f t="shared" si="66"/>
        <v>3495275.54</v>
      </c>
      <c r="F353" s="35">
        <f t="shared" si="64"/>
        <v>1413234.46</v>
      </c>
      <c r="G353" s="36"/>
      <c r="H353" s="37"/>
    </row>
    <row r="354" spans="1:8" ht="22.5" customHeight="1" x14ac:dyDescent="0.25">
      <c r="A354" s="38" t="s">
        <v>523</v>
      </c>
      <c r="B354" s="32" t="s">
        <v>134</v>
      </c>
      <c r="C354" s="43" t="s">
        <v>270</v>
      </c>
      <c r="D354" s="34">
        <f t="shared" si="66"/>
        <v>4908510</v>
      </c>
      <c r="E354" s="34">
        <f t="shared" si="66"/>
        <v>3495275.54</v>
      </c>
      <c r="F354" s="35">
        <f t="shared" si="64"/>
        <v>1413234.46</v>
      </c>
      <c r="G354" s="36"/>
      <c r="H354" s="37"/>
    </row>
    <row r="355" spans="1:8" ht="21.75" customHeight="1" x14ac:dyDescent="0.25">
      <c r="A355" s="38" t="s">
        <v>524</v>
      </c>
      <c r="B355" s="32" t="s">
        <v>134</v>
      </c>
      <c r="C355" s="43" t="s">
        <v>271</v>
      </c>
      <c r="D355" s="34">
        <f>4908510</f>
        <v>4908510</v>
      </c>
      <c r="E355" s="34">
        <v>3495275.54</v>
      </c>
      <c r="F355" s="35">
        <f t="shared" si="64"/>
        <v>1413234.46</v>
      </c>
      <c r="G355" s="36"/>
      <c r="H355" s="37"/>
    </row>
    <row r="356" spans="1:8" ht="48.75" customHeight="1" x14ac:dyDescent="0.25">
      <c r="A356" s="38" t="s">
        <v>621</v>
      </c>
      <c r="B356" s="32" t="s">
        <v>134</v>
      </c>
      <c r="C356" s="43" t="s">
        <v>754</v>
      </c>
      <c r="D356" s="34">
        <f>D358</f>
        <v>4770780</v>
      </c>
      <c r="E356" s="34">
        <f>E358</f>
        <v>4449625.3</v>
      </c>
      <c r="F356" s="35">
        <f t="shared" si="64"/>
        <v>321154.70000000019</v>
      </c>
      <c r="G356" s="36"/>
      <c r="H356" s="37"/>
    </row>
    <row r="357" spans="1:8" ht="46.5" customHeight="1" x14ac:dyDescent="0.25">
      <c r="A357" s="38" t="s">
        <v>527</v>
      </c>
      <c r="B357" s="32" t="s">
        <v>134</v>
      </c>
      <c r="C357" s="43" t="s">
        <v>272</v>
      </c>
      <c r="D357" s="34">
        <f t="shared" ref="D357:E359" si="67">D358</f>
        <v>4770780</v>
      </c>
      <c r="E357" s="34">
        <f t="shared" si="67"/>
        <v>4449625.3</v>
      </c>
      <c r="F357" s="35">
        <f t="shared" si="64"/>
        <v>321154.70000000019</v>
      </c>
      <c r="G357" s="36"/>
      <c r="H357" s="37"/>
    </row>
    <row r="358" spans="1:8" ht="21.75" customHeight="1" x14ac:dyDescent="0.25">
      <c r="A358" s="38" t="s">
        <v>522</v>
      </c>
      <c r="B358" s="32" t="s">
        <v>134</v>
      </c>
      <c r="C358" s="43" t="s">
        <v>755</v>
      </c>
      <c r="D358" s="34">
        <f t="shared" si="67"/>
        <v>4770780</v>
      </c>
      <c r="E358" s="34">
        <f t="shared" si="67"/>
        <v>4449625.3</v>
      </c>
      <c r="F358" s="35">
        <f t="shared" si="64"/>
        <v>321154.70000000019</v>
      </c>
      <c r="G358" s="36"/>
      <c r="H358" s="37"/>
    </row>
    <row r="359" spans="1:8" ht="29.25" customHeight="1" x14ac:dyDescent="0.25">
      <c r="A359" s="38" t="s">
        <v>523</v>
      </c>
      <c r="B359" s="46" t="s">
        <v>134</v>
      </c>
      <c r="C359" s="43" t="s">
        <v>756</v>
      </c>
      <c r="D359" s="47">
        <f t="shared" si="67"/>
        <v>4770780</v>
      </c>
      <c r="E359" s="47">
        <f t="shared" si="67"/>
        <v>4449625.3</v>
      </c>
      <c r="F359" s="48">
        <f t="shared" si="64"/>
        <v>321154.70000000019</v>
      </c>
      <c r="G359" s="36"/>
      <c r="H359" s="37"/>
    </row>
    <row r="360" spans="1:8" ht="26.25" customHeight="1" x14ac:dyDescent="0.25">
      <c r="A360" s="57" t="s">
        <v>524</v>
      </c>
      <c r="B360" s="61" t="s">
        <v>134</v>
      </c>
      <c r="C360" s="43" t="s">
        <v>757</v>
      </c>
      <c r="D360" s="49">
        <f>4770780</f>
        <v>4770780</v>
      </c>
      <c r="E360" s="49">
        <v>4449625.3</v>
      </c>
      <c r="F360" s="49">
        <f t="shared" si="64"/>
        <v>321154.70000000019</v>
      </c>
      <c r="G360" s="7"/>
      <c r="H360" s="7"/>
    </row>
    <row r="361" spans="1:8" x14ac:dyDescent="0.25">
      <c r="A361" s="57" t="s">
        <v>622</v>
      </c>
      <c r="B361" s="61" t="s">
        <v>134</v>
      </c>
      <c r="C361" s="43" t="s">
        <v>758</v>
      </c>
      <c r="D361" s="50">
        <f>D362+D370</f>
        <v>864670</v>
      </c>
      <c r="E361" s="50">
        <f>E362+E370</f>
        <v>0</v>
      </c>
      <c r="F361" s="50">
        <f t="shared" si="64"/>
        <v>864670</v>
      </c>
    </row>
    <row r="362" spans="1:8" ht="22.5" x14ac:dyDescent="0.25">
      <c r="A362" s="57" t="s">
        <v>623</v>
      </c>
      <c r="B362" s="61" t="s">
        <v>134</v>
      </c>
      <c r="C362" s="43" t="s">
        <v>759</v>
      </c>
      <c r="D362" s="50">
        <f t="shared" ref="D362:E365" si="68">D363</f>
        <v>213000</v>
      </c>
      <c r="E362" s="50">
        <f t="shared" si="68"/>
        <v>0</v>
      </c>
      <c r="F362" s="50">
        <f t="shared" si="64"/>
        <v>213000</v>
      </c>
    </row>
    <row r="363" spans="1:8" ht="45" x14ac:dyDescent="0.25">
      <c r="A363" s="57" t="s">
        <v>527</v>
      </c>
      <c r="B363" s="61" t="s">
        <v>134</v>
      </c>
      <c r="C363" s="43" t="s">
        <v>273</v>
      </c>
      <c r="D363" s="50">
        <f t="shared" si="68"/>
        <v>213000</v>
      </c>
      <c r="E363" s="50">
        <f t="shared" si="68"/>
        <v>0</v>
      </c>
      <c r="F363" s="50">
        <f t="shared" si="64"/>
        <v>213000</v>
      </c>
    </row>
    <row r="364" spans="1:8" ht="22.5" x14ac:dyDescent="0.25">
      <c r="A364" s="57" t="s">
        <v>522</v>
      </c>
      <c r="B364" s="61" t="s">
        <v>134</v>
      </c>
      <c r="C364" s="43" t="s">
        <v>760</v>
      </c>
      <c r="D364" s="50">
        <f t="shared" si="68"/>
        <v>213000</v>
      </c>
      <c r="E364" s="50">
        <f t="shared" si="68"/>
        <v>0</v>
      </c>
      <c r="F364" s="50">
        <f t="shared" si="64"/>
        <v>213000</v>
      </c>
    </row>
    <row r="365" spans="1:8" ht="22.5" x14ac:dyDescent="0.25">
      <c r="A365" s="57" t="s">
        <v>523</v>
      </c>
      <c r="B365" s="61" t="s">
        <v>134</v>
      </c>
      <c r="C365" s="43" t="s">
        <v>761</v>
      </c>
      <c r="D365" s="50">
        <f t="shared" si="68"/>
        <v>213000</v>
      </c>
      <c r="E365" s="50">
        <f t="shared" si="68"/>
        <v>0</v>
      </c>
      <c r="F365" s="50">
        <f t="shared" si="64"/>
        <v>213000</v>
      </c>
    </row>
    <row r="366" spans="1:8" ht="22.5" x14ac:dyDescent="0.25">
      <c r="A366" s="57" t="s">
        <v>524</v>
      </c>
      <c r="B366" s="61" t="s">
        <v>134</v>
      </c>
      <c r="C366" s="43" t="s">
        <v>762</v>
      </c>
      <c r="D366" s="50">
        <f>213000</f>
        <v>213000</v>
      </c>
      <c r="E366" s="50">
        <v>0</v>
      </c>
      <c r="F366" s="50">
        <f t="shared" si="64"/>
        <v>213000</v>
      </c>
    </row>
    <row r="367" spans="1:8" x14ac:dyDescent="0.25">
      <c r="A367" s="57" t="s">
        <v>624</v>
      </c>
      <c r="B367" s="61" t="s">
        <v>134</v>
      </c>
      <c r="C367" s="43" t="s">
        <v>763</v>
      </c>
      <c r="D367" s="50">
        <f t="shared" ref="D367:E370" si="69">D368</f>
        <v>651670</v>
      </c>
      <c r="E367" s="50">
        <f t="shared" si="69"/>
        <v>0</v>
      </c>
      <c r="F367" s="50">
        <f t="shared" si="64"/>
        <v>651670</v>
      </c>
    </row>
    <row r="368" spans="1:8" ht="45" x14ac:dyDescent="0.25">
      <c r="A368" s="57" t="s">
        <v>527</v>
      </c>
      <c r="B368" s="61" t="s">
        <v>134</v>
      </c>
      <c r="C368" s="43" t="s">
        <v>274</v>
      </c>
      <c r="D368" s="50">
        <f t="shared" si="69"/>
        <v>651670</v>
      </c>
      <c r="E368" s="50">
        <f t="shared" si="69"/>
        <v>0</v>
      </c>
      <c r="F368" s="50">
        <f t="shared" si="64"/>
        <v>651670</v>
      </c>
    </row>
    <row r="369" spans="1:6" ht="22.5" x14ac:dyDescent="0.25">
      <c r="A369" s="57" t="s">
        <v>522</v>
      </c>
      <c r="B369" s="61" t="s">
        <v>134</v>
      </c>
      <c r="C369" s="43" t="s">
        <v>764</v>
      </c>
      <c r="D369" s="50">
        <f t="shared" si="69"/>
        <v>651670</v>
      </c>
      <c r="E369" s="50">
        <f t="shared" si="69"/>
        <v>0</v>
      </c>
      <c r="F369" s="50">
        <f t="shared" si="64"/>
        <v>651670</v>
      </c>
    </row>
    <row r="370" spans="1:6" ht="22.5" x14ac:dyDescent="0.25">
      <c r="A370" s="57" t="s">
        <v>523</v>
      </c>
      <c r="B370" s="61" t="s">
        <v>134</v>
      </c>
      <c r="C370" s="43" t="s">
        <v>765</v>
      </c>
      <c r="D370" s="50">
        <f t="shared" si="69"/>
        <v>651670</v>
      </c>
      <c r="E370" s="50">
        <f t="shared" si="69"/>
        <v>0</v>
      </c>
      <c r="F370" s="50">
        <f t="shared" si="64"/>
        <v>651670</v>
      </c>
    </row>
    <row r="371" spans="1:6" ht="22.5" x14ac:dyDescent="0.25">
      <c r="A371" s="57" t="s">
        <v>524</v>
      </c>
      <c r="B371" s="61" t="s">
        <v>134</v>
      </c>
      <c r="C371" s="43" t="s">
        <v>766</v>
      </c>
      <c r="D371" s="50">
        <f>651670</f>
        <v>651670</v>
      </c>
      <c r="E371" s="50">
        <v>0</v>
      </c>
      <c r="F371" s="50">
        <f t="shared" si="64"/>
        <v>651670</v>
      </c>
    </row>
    <row r="372" spans="1:6" x14ac:dyDescent="0.25">
      <c r="A372" s="57" t="s">
        <v>625</v>
      </c>
      <c r="B372" s="61" t="s">
        <v>134</v>
      </c>
      <c r="C372" s="43" t="s">
        <v>767</v>
      </c>
      <c r="D372" s="50">
        <f>D373+D378</f>
        <v>4494160</v>
      </c>
      <c r="E372" s="50">
        <f>E373+E378</f>
        <v>3057545.11</v>
      </c>
      <c r="F372" s="50">
        <f t="shared" si="64"/>
        <v>1436614.8900000001</v>
      </c>
    </row>
    <row r="373" spans="1:6" ht="22.5" x14ac:dyDescent="0.25">
      <c r="A373" s="57" t="s">
        <v>626</v>
      </c>
      <c r="B373" s="61" t="s">
        <v>134</v>
      </c>
      <c r="C373" s="43" t="s">
        <v>768</v>
      </c>
      <c r="D373" s="50">
        <f t="shared" ref="D373:E376" si="70">D374</f>
        <v>2968160</v>
      </c>
      <c r="E373" s="50">
        <f t="shared" si="70"/>
        <v>1556362.63</v>
      </c>
      <c r="F373" s="50">
        <f t="shared" si="64"/>
        <v>1411797.37</v>
      </c>
    </row>
    <row r="374" spans="1:6" ht="45" x14ac:dyDescent="0.25">
      <c r="A374" s="57" t="s">
        <v>527</v>
      </c>
      <c r="B374" s="61" t="s">
        <v>134</v>
      </c>
      <c r="C374" s="43" t="s">
        <v>275</v>
      </c>
      <c r="D374" s="50">
        <f t="shared" si="70"/>
        <v>2968160</v>
      </c>
      <c r="E374" s="50">
        <f t="shared" si="70"/>
        <v>1556362.63</v>
      </c>
      <c r="F374" s="50">
        <f t="shared" si="64"/>
        <v>1411797.37</v>
      </c>
    </row>
    <row r="375" spans="1:6" ht="22.5" x14ac:dyDescent="0.25">
      <c r="A375" s="57" t="s">
        <v>522</v>
      </c>
      <c r="B375" s="61" t="s">
        <v>134</v>
      </c>
      <c r="C375" s="43" t="s">
        <v>276</v>
      </c>
      <c r="D375" s="50">
        <f t="shared" si="70"/>
        <v>2968160</v>
      </c>
      <c r="E375" s="50">
        <f t="shared" si="70"/>
        <v>1556362.63</v>
      </c>
      <c r="F375" s="50">
        <f t="shared" si="64"/>
        <v>1411797.37</v>
      </c>
    </row>
    <row r="376" spans="1:6" ht="22.5" x14ac:dyDescent="0.25">
      <c r="A376" s="57" t="s">
        <v>523</v>
      </c>
      <c r="B376" s="61" t="s">
        <v>134</v>
      </c>
      <c r="C376" s="43" t="s">
        <v>277</v>
      </c>
      <c r="D376" s="50">
        <f t="shared" si="70"/>
        <v>2968160</v>
      </c>
      <c r="E376" s="50">
        <f t="shared" si="70"/>
        <v>1556362.63</v>
      </c>
      <c r="F376" s="50">
        <f t="shared" si="64"/>
        <v>1411797.37</v>
      </c>
    </row>
    <row r="377" spans="1:6" ht="22.5" x14ac:dyDescent="0.25">
      <c r="A377" s="57" t="s">
        <v>524</v>
      </c>
      <c r="B377" s="61" t="s">
        <v>134</v>
      </c>
      <c r="C377" s="43" t="s">
        <v>278</v>
      </c>
      <c r="D377" s="50">
        <f>2968160</f>
        <v>2968160</v>
      </c>
      <c r="E377" s="50">
        <v>1556362.63</v>
      </c>
      <c r="F377" s="50">
        <f t="shared" si="64"/>
        <v>1411797.37</v>
      </c>
    </row>
    <row r="378" spans="1:6" ht="22.5" x14ac:dyDescent="0.25">
      <c r="A378" s="57" t="s">
        <v>627</v>
      </c>
      <c r="B378" s="61" t="s">
        <v>134</v>
      </c>
      <c r="C378" s="43" t="s">
        <v>769</v>
      </c>
      <c r="D378" s="50">
        <f t="shared" ref="D378:E381" si="71">D379</f>
        <v>1526000</v>
      </c>
      <c r="E378" s="50">
        <f t="shared" si="71"/>
        <v>1501182.48</v>
      </c>
      <c r="F378" s="50">
        <f t="shared" si="64"/>
        <v>24817.520000000019</v>
      </c>
    </row>
    <row r="379" spans="1:6" ht="45" x14ac:dyDescent="0.25">
      <c r="A379" s="57" t="s">
        <v>527</v>
      </c>
      <c r="B379" s="61" t="s">
        <v>134</v>
      </c>
      <c r="C379" s="43" t="s">
        <v>279</v>
      </c>
      <c r="D379" s="50">
        <f t="shared" si="71"/>
        <v>1526000</v>
      </c>
      <c r="E379" s="50">
        <f t="shared" si="71"/>
        <v>1501182.48</v>
      </c>
      <c r="F379" s="50">
        <f t="shared" si="64"/>
        <v>24817.520000000019</v>
      </c>
    </row>
    <row r="380" spans="1:6" ht="24.75" customHeight="1" x14ac:dyDescent="0.25">
      <c r="A380" s="57" t="s">
        <v>596</v>
      </c>
      <c r="B380" s="61" t="s">
        <v>134</v>
      </c>
      <c r="C380" s="43" t="s">
        <v>770</v>
      </c>
      <c r="D380" s="50">
        <f t="shared" si="71"/>
        <v>1526000</v>
      </c>
      <c r="E380" s="50">
        <f t="shared" si="71"/>
        <v>1501182.48</v>
      </c>
      <c r="F380" s="50">
        <f t="shared" si="64"/>
        <v>24817.520000000019</v>
      </c>
    </row>
    <row r="381" spans="1:6" x14ac:dyDescent="0.25">
      <c r="A381" s="57" t="s">
        <v>585</v>
      </c>
      <c r="B381" s="61" t="s">
        <v>134</v>
      </c>
      <c r="C381" s="43" t="s">
        <v>771</v>
      </c>
      <c r="D381" s="50">
        <f t="shared" si="71"/>
        <v>1526000</v>
      </c>
      <c r="E381" s="50">
        <f t="shared" si="71"/>
        <v>1501182.48</v>
      </c>
      <c r="F381" s="50">
        <f t="shared" si="64"/>
        <v>24817.520000000019</v>
      </c>
    </row>
    <row r="382" spans="1:6" ht="22.5" x14ac:dyDescent="0.25">
      <c r="A382" s="57" t="s">
        <v>628</v>
      </c>
      <c r="B382" s="61" t="s">
        <v>134</v>
      </c>
      <c r="C382" s="43" t="s">
        <v>772</v>
      </c>
      <c r="D382" s="50">
        <f>1526000</f>
        <v>1526000</v>
      </c>
      <c r="E382" s="50">
        <v>1501182.48</v>
      </c>
      <c r="F382" s="50">
        <f t="shared" si="64"/>
        <v>24817.520000000019</v>
      </c>
    </row>
    <row r="383" spans="1:6" ht="33.75" x14ac:dyDescent="0.25">
      <c r="A383" s="57" t="s">
        <v>629</v>
      </c>
      <c r="B383" s="61" t="s">
        <v>134</v>
      </c>
      <c r="C383" s="43" t="s">
        <v>773</v>
      </c>
      <c r="D383" s="50">
        <f t="shared" ref="D383:E386" si="72">D384</f>
        <v>959573.26</v>
      </c>
      <c r="E383" s="50">
        <f t="shared" si="72"/>
        <v>754232.42</v>
      </c>
      <c r="F383" s="50">
        <f t="shared" si="64"/>
        <v>205340.83999999997</v>
      </c>
    </row>
    <row r="384" spans="1:6" ht="36" customHeight="1" x14ac:dyDescent="0.25">
      <c r="A384" s="57" t="s">
        <v>630</v>
      </c>
      <c r="B384" s="61" t="s">
        <v>134</v>
      </c>
      <c r="C384" s="43" t="s">
        <v>280</v>
      </c>
      <c r="D384" s="50">
        <f t="shared" si="72"/>
        <v>959573.26</v>
      </c>
      <c r="E384" s="50">
        <f t="shared" si="72"/>
        <v>754232.42</v>
      </c>
      <c r="F384" s="50">
        <f t="shared" si="64"/>
        <v>205340.83999999997</v>
      </c>
    </row>
    <row r="385" spans="1:6" ht="22.5" x14ac:dyDescent="0.25">
      <c r="A385" s="57" t="s">
        <v>522</v>
      </c>
      <c r="B385" s="61" t="s">
        <v>134</v>
      </c>
      <c r="C385" s="43" t="s">
        <v>281</v>
      </c>
      <c r="D385" s="50">
        <f t="shared" si="72"/>
        <v>959573.26</v>
      </c>
      <c r="E385" s="50">
        <f t="shared" si="72"/>
        <v>754232.42</v>
      </c>
      <c r="F385" s="50">
        <f t="shared" si="64"/>
        <v>205340.83999999997</v>
      </c>
    </row>
    <row r="386" spans="1:6" ht="22.5" x14ac:dyDescent="0.25">
      <c r="A386" s="57" t="s">
        <v>523</v>
      </c>
      <c r="B386" s="61" t="s">
        <v>134</v>
      </c>
      <c r="C386" s="43" t="s">
        <v>282</v>
      </c>
      <c r="D386" s="50">
        <f t="shared" si="72"/>
        <v>959573.26</v>
      </c>
      <c r="E386" s="50">
        <f t="shared" si="72"/>
        <v>754232.42</v>
      </c>
      <c r="F386" s="50">
        <f t="shared" si="64"/>
        <v>205340.83999999997</v>
      </c>
    </row>
    <row r="387" spans="1:6" ht="22.5" x14ac:dyDescent="0.25">
      <c r="A387" s="57" t="s">
        <v>524</v>
      </c>
      <c r="B387" s="61" t="s">
        <v>134</v>
      </c>
      <c r="C387" s="43" t="s">
        <v>283</v>
      </c>
      <c r="D387" s="50">
        <f>959573.26</f>
        <v>959573.26</v>
      </c>
      <c r="E387" s="50">
        <v>754232.42</v>
      </c>
      <c r="F387" s="50">
        <f t="shared" si="64"/>
        <v>205340.83999999997</v>
      </c>
    </row>
    <row r="388" spans="1:6" x14ac:dyDescent="0.25">
      <c r="A388" s="57" t="s">
        <v>631</v>
      </c>
      <c r="B388" s="61" t="s">
        <v>134</v>
      </c>
      <c r="C388" s="43" t="s">
        <v>774</v>
      </c>
      <c r="D388" s="50">
        <f>D389+D393</f>
        <v>500226.74</v>
      </c>
      <c r="E388" s="50">
        <f>E389+E393</f>
        <v>500226.74</v>
      </c>
      <c r="F388" s="50">
        <f t="shared" si="64"/>
        <v>0</v>
      </c>
    </row>
    <row r="389" spans="1:6" ht="22.5" x14ac:dyDescent="0.25">
      <c r="A389" s="57" t="s">
        <v>632</v>
      </c>
      <c r="B389" s="61" t="s">
        <v>134</v>
      </c>
      <c r="C389" s="43" t="s">
        <v>775</v>
      </c>
      <c r="D389" s="50">
        <f t="shared" ref="D389:E391" si="73">D390</f>
        <v>300203</v>
      </c>
      <c r="E389" s="50">
        <f t="shared" si="73"/>
        <v>300203</v>
      </c>
      <c r="F389" s="50">
        <f t="shared" si="64"/>
        <v>0</v>
      </c>
    </row>
    <row r="390" spans="1:6" ht="22.5" x14ac:dyDescent="0.25">
      <c r="A390" s="57" t="s">
        <v>522</v>
      </c>
      <c r="B390" s="61" t="s">
        <v>134</v>
      </c>
      <c r="C390" s="43" t="s">
        <v>776</v>
      </c>
      <c r="D390" s="50">
        <f t="shared" si="73"/>
        <v>300203</v>
      </c>
      <c r="E390" s="50">
        <f t="shared" si="73"/>
        <v>300203</v>
      </c>
      <c r="F390" s="50">
        <f t="shared" si="64"/>
        <v>0</v>
      </c>
    </row>
    <row r="391" spans="1:6" ht="22.5" x14ac:dyDescent="0.25">
      <c r="A391" s="57" t="s">
        <v>523</v>
      </c>
      <c r="B391" s="61" t="s">
        <v>134</v>
      </c>
      <c r="C391" s="43" t="s">
        <v>777</v>
      </c>
      <c r="D391" s="50">
        <f t="shared" si="73"/>
        <v>300203</v>
      </c>
      <c r="E391" s="50">
        <f t="shared" si="73"/>
        <v>300203</v>
      </c>
      <c r="F391" s="50">
        <f t="shared" si="64"/>
        <v>0</v>
      </c>
    </row>
    <row r="392" spans="1:6" ht="22.5" x14ac:dyDescent="0.25">
      <c r="A392" s="57" t="s">
        <v>524</v>
      </c>
      <c r="B392" s="61" t="s">
        <v>134</v>
      </c>
      <c r="C392" s="43" t="s">
        <v>778</v>
      </c>
      <c r="D392" s="50">
        <v>300203</v>
      </c>
      <c r="E392" s="50">
        <v>300203</v>
      </c>
      <c r="F392" s="50">
        <f t="shared" si="64"/>
        <v>0</v>
      </c>
    </row>
    <row r="393" spans="1:6" ht="22.5" x14ac:dyDescent="0.25">
      <c r="A393" s="57" t="s">
        <v>633</v>
      </c>
      <c r="B393" s="61" t="s">
        <v>134</v>
      </c>
      <c r="C393" s="43" t="s">
        <v>779</v>
      </c>
      <c r="D393" s="50">
        <f t="shared" ref="D393:E395" si="74">D394</f>
        <v>200023.74</v>
      </c>
      <c r="E393" s="50">
        <f t="shared" si="74"/>
        <v>200023.74</v>
      </c>
      <c r="F393" s="50">
        <f t="shared" si="64"/>
        <v>0</v>
      </c>
    </row>
    <row r="394" spans="1:6" ht="22.5" x14ac:dyDescent="0.25">
      <c r="A394" s="57" t="s">
        <v>522</v>
      </c>
      <c r="B394" s="61" t="s">
        <v>134</v>
      </c>
      <c r="C394" s="43" t="s">
        <v>780</v>
      </c>
      <c r="D394" s="50">
        <f t="shared" si="74"/>
        <v>200023.74</v>
      </c>
      <c r="E394" s="50">
        <f t="shared" si="74"/>
        <v>200023.74</v>
      </c>
      <c r="F394" s="50">
        <f t="shared" si="64"/>
        <v>0</v>
      </c>
    </row>
    <row r="395" spans="1:6" ht="22.5" x14ac:dyDescent="0.25">
      <c r="A395" s="57" t="s">
        <v>523</v>
      </c>
      <c r="B395" s="61" t="s">
        <v>134</v>
      </c>
      <c r="C395" s="43" t="s">
        <v>781</v>
      </c>
      <c r="D395" s="50">
        <f t="shared" si="74"/>
        <v>200023.74</v>
      </c>
      <c r="E395" s="50">
        <f t="shared" si="74"/>
        <v>200023.74</v>
      </c>
      <c r="F395" s="50">
        <f t="shared" si="64"/>
        <v>0</v>
      </c>
    </row>
    <row r="396" spans="1:6" ht="22.5" x14ac:dyDescent="0.25">
      <c r="A396" s="57" t="s">
        <v>524</v>
      </c>
      <c r="B396" s="61" t="s">
        <v>134</v>
      </c>
      <c r="C396" s="43" t="s">
        <v>782</v>
      </c>
      <c r="D396" s="50">
        <v>200023.74</v>
      </c>
      <c r="E396" s="50">
        <v>200023.74</v>
      </c>
      <c r="F396" s="50">
        <f t="shared" si="64"/>
        <v>0</v>
      </c>
    </row>
    <row r="397" spans="1:6" ht="33.75" x14ac:dyDescent="0.25">
      <c r="A397" s="57" t="s">
        <v>603</v>
      </c>
      <c r="B397" s="61" t="s">
        <v>134</v>
      </c>
      <c r="C397" s="43" t="s">
        <v>783</v>
      </c>
      <c r="D397" s="50">
        <f t="shared" ref="D397:E402" si="75">D398</f>
        <v>532500</v>
      </c>
      <c r="E397" s="50">
        <f t="shared" si="75"/>
        <v>0</v>
      </c>
      <c r="F397" s="50">
        <f t="shared" si="64"/>
        <v>532500</v>
      </c>
    </row>
    <row r="398" spans="1:6" ht="34.5" customHeight="1" x14ac:dyDescent="0.25">
      <c r="A398" s="57" t="s">
        <v>634</v>
      </c>
      <c r="B398" s="61" t="s">
        <v>134</v>
      </c>
      <c r="C398" s="43" t="s">
        <v>784</v>
      </c>
      <c r="D398" s="50">
        <f t="shared" si="75"/>
        <v>532500</v>
      </c>
      <c r="E398" s="50">
        <f t="shared" si="75"/>
        <v>0</v>
      </c>
      <c r="F398" s="50">
        <f t="shared" si="64"/>
        <v>532500</v>
      </c>
    </row>
    <row r="399" spans="1:6" ht="22.5" x14ac:dyDescent="0.25">
      <c r="A399" s="57" t="s">
        <v>635</v>
      </c>
      <c r="B399" s="61" t="s">
        <v>134</v>
      </c>
      <c r="C399" s="43" t="s">
        <v>785</v>
      </c>
      <c r="D399" s="50">
        <f t="shared" si="75"/>
        <v>532500</v>
      </c>
      <c r="E399" s="50">
        <f t="shared" si="75"/>
        <v>0</v>
      </c>
      <c r="F399" s="50">
        <f t="shared" si="64"/>
        <v>532500</v>
      </c>
    </row>
    <row r="400" spans="1:6" ht="45" x14ac:dyDescent="0.25">
      <c r="A400" s="57" t="s">
        <v>527</v>
      </c>
      <c r="B400" s="61" t="s">
        <v>134</v>
      </c>
      <c r="C400" s="43" t="s">
        <v>284</v>
      </c>
      <c r="D400" s="50">
        <f t="shared" si="75"/>
        <v>532500</v>
      </c>
      <c r="E400" s="50">
        <f t="shared" si="75"/>
        <v>0</v>
      </c>
      <c r="F400" s="50">
        <f t="shared" si="64"/>
        <v>532500</v>
      </c>
    </row>
    <row r="401" spans="1:6" ht="22.5" x14ac:dyDescent="0.25">
      <c r="A401" s="57" t="s">
        <v>522</v>
      </c>
      <c r="B401" s="61" t="s">
        <v>134</v>
      </c>
      <c r="C401" s="43" t="s">
        <v>786</v>
      </c>
      <c r="D401" s="50">
        <f t="shared" si="75"/>
        <v>532500</v>
      </c>
      <c r="E401" s="50">
        <f t="shared" si="75"/>
        <v>0</v>
      </c>
      <c r="F401" s="50">
        <f t="shared" si="64"/>
        <v>532500</v>
      </c>
    </row>
    <row r="402" spans="1:6" ht="22.5" x14ac:dyDescent="0.25">
      <c r="A402" s="57" t="s">
        <v>523</v>
      </c>
      <c r="B402" s="61" t="s">
        <v>134</v>
      </c>
      <c r="C402" s="43" t="s">
        <v>787</v>
      </c>
      <c r="D402" s="50">
        <f t="shared" si="75"/>
        <v>532500</v>
      </c>
      <c r="E402" s="50">
        <f t="shared" si="75"/>
        <v>0</v>
      </c>
      <c r="F402" s="50">
        <f t="shared" ref="F402:F465" si="76">D402-E402</f>
        <v>532500</v>
      </c>
    </row>
    <row r="403" spans="1:6" ht="22.5" x14ac:dyDescent="0.25">
      <c r="A403" s="57" t="s">
        <v>524</v>
      </c>
      <c r="B403" s="61" t="s">
        <v>134</v>
      </c>
      <c r="C403" s="43" t="s">
        <v>788</v>
      </c>
      <c r="D403" s="50">
        <f>532500</f>
        <v>532500</v>
      </c>
      <c r="E403" s="50">
        <v>0</v>
      </c>
      <c r="F403" s="50">
        <f t="shared" si="76"/>
        <v>532500</v>
      </c>
    </row>
    <row r="404" spans="1:6" x14ac:dyDescent="0.25">
      <c r="A404" s="57" t="s">
        <v>636</v>
      </c>
      <c r="B404" s="61" t="s">
        <v>134</v>
      </c>
      <c r="C404" s="43" t="s">
        <v>285</v>
      </c>
      <c r="D404" s="50">
        <f>D405+D413</f>
        <v>500000</v>
      </c>
      <c r="E404" s="50">
        <f>E405+E413</f>
        <v>319908</v>
      </c>
      <c r="F404" s="50">
        <f t="shared" si="76"/>
        <v>180092</v>
      </c>
    </row>
    <row r="405" spans="1:6" ht="22.5" x14ac:dyDescent="0.25">
      <c r="A405" s="57" t="s">
        <v>637</v>
      </c>
      <c r="B405" s="61" t="s">
        <v>134</v>
      </c>
      <c r="C405" s="43" t="s">
        <v>286</v>
      </c>
      <c r="D405" s="50">
        <f t="shared" ref="D405:E411" si="77">D406</f>
        <v>200000</v>
      </c>
      <c r="E405" s="50">
        <f t="shared" si="77"/>
        <v>167468</v>
      </c>
      <c r="F405" s="50">
        <f t="shared" si="76"/>
        <v>32532</v>
      </c>
    </row>
    <row r="406" spans="1:6" ht="22.5" x14ac:dyDescent="0.25">
      <c r="A406" s="57" t="s">
        <v>382</v>
      </c>
      <c r="B406" s="61" t="s">
        <v>134</v>
      </c>
      <c r="C406" s="43" t="s">
        <v>789</v>
      </c>
      <c r="D406" s="50">
        <f t="shared" si="77"/>
        <v>200000</v>
      </c>
      <c r="E406" s="50">
        <f t="shared" si="77"/>
        <v>167468</v>
      </c>
      <c r="F406" s="50">
        <f t="shared" si="76"/>
        <v>32532</v>
      </c>
    </row>
    <row r="407" spans="1:6" ht="22.5" x14ac:dyDescent="0.25">
      <c r="A407" s="57" t="s">
        <v>638</v>
      </c>
      <c r="B407" s="61" t="s">
        <v>134</v>
      </c>
      <c r="C407" s="43" t="s">
        <v>790</v>
      </c>
      <c r="D407" s="50">
        <f t="shared" si="77"/>
        <v>200000</v>
      </c>
      <c r="E407" s="50">
        <f t="shared" si="77"/>
        <v>167468</v>
      </c>
      <c r="F407" s="50">
        <f t="shared" si="76"/>
        <v>32532</v>
      </c>
    </row>
    <row r="408" spans="1:6" ht="33.75" x14ac:dyDescent="0.25">
      <c r="A408" s="57" t="s">
        <v>639</v>
      </c>
      <c r="B408" s="61" t="s">
        <v>134</v>
      </c>
      <c r="C408" s="43" t="s">
        <v>791</v>
      </c>
      <c r="D408" s="50">
        <f t="shared" si="77"/>
        <v>200000</v>
      </c>
      <c r="E408" s="50">
        <f t="shared" si="77"/>
        <v>167468</v>
      </c>
      <c r="F408" s="50">
        <f t="shared" si="76"/>
        <v>32532</v>
      </c>
    </row>
    <row r="409" spans="1:6" ht="26.25" customHeight="1" x14ac:dyDescent="0.25">
      <c r="A409" s="57" t="s">
        <v>640</v>
      </c>
      <c r="B409" s="61" t="s">
        <v>134</v>
      </c>
      <c r="C409" s="43" t="s">
        <v>287</v>
      </c>
      <c r="D409" s="50">
        <f t="shared" si="77"/>
        <v>200000</v>
      </c>
      <c r="E409" s="50">
        <f t="shared" si="77"/>
        <v>167468</v>
      </c>
      <c r="F409" s="50">
        <f t="shared" si="76"/>
        <v>32532</v>
      </c>
    </row>
    <row r="410" spans="1:6" ht="22.5" x14ac:dyDescent="0.25">
      <c r="A410" s="57" t="s">
        <v>522</v>
      </c>
      <c r="B410" s="61" t="s">
        <v>134</v>
      </c>
      <c r="C410" s="43" t="s">
        <v>288</v>
      </c>
      <c r="D410" s="50">
        <f t="shared" si="77"/>
        <v>200000</v>
      </c>
      <c r="E410" s="50">
        <f t="shared" si="77"/>
        <v>167468</v>
      </c>
      <c r="F410" s="50">
        <f t="shared" si="76"/>
        <v>32532</v>
      </c>
    </row>
    <row r="411" spans="1:6" ht="22.5" x14ac:dyDescent="0.25">
      <c r="A411" s="57" t="s">
        <v>523</v>
      </c>
      <c r="B411" s="61" t="s">
        <v>134</v>
      </c>
      <c r="C411" s="43" t="s">
        <v>289</v>
      </c>
      <c r="D411" s="50">
        <f t="shared" si="77"/>
        <v>200000</v>
      </c>
      <c r="E411" s="50">
        <f t="shared" si="77"/>
        <v>167468</v>
      </c>
      <c r="F411" s="50">
        <f t="shared" si="76"/>
        <v>32532</v>
      </c>
    </row>
    <row r="412" spans="1:6" ht="22.5" x14ac:dyDescent="0.25">
      <c r="A412" s="57" t="s">
        <v>524</v>
      </c>
      <c r="B412" s="61" t="s">
        <v>134</v>
      </c>
      <c r="C412" s="43" t="s">
        <v>290</v>
      </c>
      <c r="D412" s="50">
        <f>200000</f>
        <v>200000</v>
      </c>
      <c r="E412" s="50">
        <v>167468</v>
      </c>
      <c r="F412" s="50">
        <f t="shared" si="76"/>
        <v>32532</v>
      </c>
    </row>
    <row r="413" spans="1:6" x14ac:dyDescent="0.25">
      <c r="A413" s="57" t="s">
        <v>641</v>
      </c>
      <c r="B413" s="61" t="s">
        <v>134</v>
      </c>
      <c r="C413" s="43" t="s">
        <v>291</v>
      </c>
      <c r="D413" s="50">
        <f t="shared" ref="D413:E417" si="78">D414</f>
        <v>300000</v>
      </c>
      <c r="E413" s="50">
        <f t="shared" si="78"/>
        <v>152440</v>
      </c>
      <c r="F413" s="50">
        <f t="shared" si="76"/>
        <v>147560</v>
      </c>
    </row>
    <row r="414" spans="1:6" ht="33.75" customHeight="1" x14ac:dyDescent="0.25">
      <c r="A414" s="57" t="s">
        <v>642</v>
      </c>
      <c r="B414" s="61" t="s">
        <v>134</v>
      </c>
      <c r="C414" s="43" t="s">
        <v>792</v>
      </c>
      <c r="D414" s="50">
        <f t="shared" si="78"/>
        <v>300000</v>
      </c>
      <c r="E414" s="50">
        <f t="shared" si="78"/>
        <v>152440</v>
      </c>
      <c r="F414" s="50">
        <f t="shared" si="76"/>
        <v>147560</v>
      </c>
    </row>
    <row r="415" spans="1:6" ht="22.5" x14ac:dyDescent="0.25">
      <c r="A415" s="57" t="s">
        <v>643</v>
      </c>
      <c r="B415" s="61" t="s">
        <v>134</v>
      </c>
      <c r="C415" s="43" t="s">
        <v>793</v>
      </c>
      <c r="D415" s="50">
        <f t="shared" si="78"/>
        <v>300000</v>
      </c>
      <c r="E415" s="50">
        <f t="shared" si="78"/>
        <v>152440</v>
      </c>
      <c r="F415" s="50">
        <f t="shared" si="76"/>
        <v>147560</v>
      </c>
    </row>
    <row r="416" spans="1:6" ht="45" x14ac:dyDescent="0.25">
      <c r="A416" s="57" t="s">
        <v>527</v>
      </c>
      <c r="B416" s="61" t="s">
        <v>134</v>
      </c>
      <c r="C416" s="43" t="s">
        <v>292</v>
      </c>
      <c r="D416" s="50">
        <f t="shared" si="78"/>
        <v>300000</v>
      </c>
      <c r="E416" s="50">
        <f t="shared" si="78"/>
        <v>152440</v>
      </c>
      <c r="F416" s="50">
        <f t="shared" si="76"/>
        <v>147560</v>
      </c>
    </row>
    <row r="417" spans="1:6" ht="22.5" x14ac:dyDescent="0.25">
      <c r="A417" s="57" t="s">
        <v>522</v>
      </c>
      <c r="B417" s="61" t="s">
        <v>134</v>
      </c>
      <c r="C417" s="43" t="s">
        <v>293</v>
      </c>
      <c r="D417" s="50">
        <f t="shared" si="78"/>
        <v>300000</v>
      </c>
      <c r="E417" s="50">
        <f t="shared" si="78"/>
        <v>152440</v>
      </c>
      <c r="F417" s="50">
        <f t="shared" si="76"/>
        <v>147560</v>
      </c>
    </row>
    <row r="418" spans="1:6" ht="22.5" x14ac:dyDescent="0.25">
      <c r="A418" s="57" t="s">
        <v>523</v>
      </c>
      <c r="B418" s="61" t="s">
        <v>134</v>
      </c>
      <c r="C418" s="43" t="s">
        <v>294</v>
      </c>
      <c r="D418" s="50">
        <f>D419</f>
        <v>300000</v>
      </c>
      <c r="E418" s="50">
        <f>E419</f>
        <v>152440</v>
      </c>
      <c r="F418" s="50">
        <f t="shared" si="76"/>
        <v>147560</v>
      </c>
    </row>
    <row r="419" spans="1:6" ht="22.5" x14ac:dyDescent="0.25">
      <c r="A419" s="57" t="s">
        <v>524</v>
      </c>
      <c r="B419" s="61" t="s">
        <v>134</v>
      </c>
      <c r="C419" s="43" t="s">
        <v>295</v>
      </c>
      <c r="D419" s="50">
        <f>300000</f>
        <v>300000</v>
      </c>
      <c r="E419" s="50">
        <v>152440</v>
      </c>
      <c r="F419" s="50">
        <f t="shared" si="76"/>
        <v>147560</v>
      </c>
    </row>
    <row r="420" spans="1:6" x14ac:dyDescent="0.25">
      <c r="A420" s="57" t="s">
        <v>644</v>
      </c>
      <c r="B420" s="61" t="s">
        <v>134</v>
      </c>
      <c r="C420" s="43" t="s">
        <v>56</v>
      </c>
      <c r="D420" s="50">
        <f>D421</f>
        <v>2680211</v>
      </c>
      <c r="E420" s="50">
        <f>E421</f>
        <v>1304100.1399999999</v>
      </c>
      <c r="F420" s="50">
        <f t="shared" si="76"/>
        <v>1376110.86</v>
      </c>
    </row>
    <row r="421" spans="1:6" x14ac:dyDescent="0.25">
      <c r="A421" s="57" t="s">
        <v>645</v>
      </c>
      <c r="B421" s="61" t="s">
        <v>134</v>
      </c>
      <c r="C421" s="43" t="s">
        <v>296</v>
      </c>
      <c r="D421" s="50">
        <f>D422</f>
        <v>2680211</v>
      </c>
      <c r="E421" s="50">
        <f>E422</f>
        <v>1304100.1399999999</v>
      </c>
      <c r="F421" s="50">
        <f t="shared" si="76"/>
        <v>1376110.86</v>
      </c>
    </row>
    <row r="422" spans="1:6" ht="22.5" x14ac:dyDescent="0.25">
      <c r="A422" s="57" t="s">
        <v>646</v>
      </c>
      <c r="B422" s="61" t="s">
        <v>134</v>
      </c>
      <c r="C422" s="43" t="s">
        <v>794</v>
      </c>
      <c r="D422" s="50">
        <f>D423+D430</f>
        <v>2680211</v>
      </c>
      <c r="E422" s="50">
        <f>E423+E430</f>
        <v>1304100.1399999999</v>
      </c>
      <c r="F422" s="50">
        <f t="shared" si="76"/>
        <v>1376110.86</v>
      </c>
    </row>
    <row r="423" spans="1:6" ht="33.75" x14ac:dyDescent="0.25">
      <c r="A423" s="57" t="s">
        <v>647</v>
      </c>
      <c r="B423" s="61" t="s">
        <v>134</v>
      </c>
      <c r="C423" s="43" t="s">
        <v>795</v>
      </c>
      <c r="D423" s="50">
        <f>D424+D429</f>
        <v>2333211</v>
      </c>
      <c r="E423" s="50">
        <f>E424+E429</f>
        <v>1147850.44</v>
      </c>
      <c r="F423" s="50">
        <f t="shared" si="76"/>
        <v>1185360.56</v>
      </c>
    </row>
    <row r="424" spans="1:6" ht="22.5" x14ac:dyDescent="0.25">
      <c r="A424" s="57" t="s">
        <v>648</v>
      </c>
      <c r="B424" s="61" t="s">
        <v>134</v>
      </c>
      <c r="C424" s="43" t="s">
        <v>297</v>
      </c>
      <c r="D424" s="50">
        <f t="shared" ref="D424:E425" si="79">D425</f>
        <v>345000</v>
      </c>
      <c r="E424" s="50">
        <f t="shared" si="79"/>
        <v>30000</v>
      </c>
      <c r="F424" s="50">
        <f t="shared" si="76"/>
        <v>315000</v>
      </c>
    </row>
    <row r="425" spans="1:6" x14ac:dyDescent="0.25">
      <c r="A425" s="57" t="s">
        <v>649</v>
      </c>
      <c r="B425" s="61" t="s">
        <v>134</v>
      </c>
      <c r="C425" s="43" t="s">
        <v>796</v>
      </c>
      <c r="D425" s="50">
        <f t="shared" si="79"/>
        <v>345000</v>
      </c>
      <c r="E425" s="50">
        <f t="shared" si="79"/>
        <v>30000</v>
      </c>
      <c r="F425" s="50">
        <f t="shared" si="76"/>
        <v>315000</v>
      </c>
    </row>
    <row r="426" spans="1:6" x14ac:dyDescent="0.25">
      <c r="A426" s="57" t="s">
        <v>650</v>
      </c>
      <c r="B426" s="61" t="s">
        <v>134</v>
      </c>
      <c r="C426" s="43" t="s">
        <v>797</v>
      </c>
      <c r="D426" s="50">
        <f>345000</f>
        <v>345000</v>
      </c>
      <c r="E426" s="50">
        <v>30000</v>
      </c>
      <c r="F426" s="50">
        <f t="shared" si="76"/>
        <v>315000</v>
      </c>
    </row>
    <row r="427" spans="1:6" ht="33.75" x14ac:dyDescent="0.25">
      <c r="A427" s="57" t="s">
        <v>651</v>
      </c>
      <c r="B427" s="61" t="s">
        <v>134</v>
      </c>
      <c r="C427" s="43" t="s">
        <v>298</v>
      </c>
      <c r="D427" s="50">
        <f t="shared" ref="D427:E428" si="80">D428</f>
        <v>1988211</v>
      </c>
      <c r="E427" s="50">
        <f t="shared" si="80"/>
        <v>1117850.44</v>
      </c>
      <c r="F427" s="50">
        <f t="shared" si="76"/>
        <v>870360.56</v>
      </c>
    </row>
    <row r="428" spans="1:6" x14ac:dyDescent="0.25">
      <c r="A428" s="57" t="s">
        <v>649</v>
      </c>
      <c r="B428" s="61" t="s">
        <v>134</v>
      </c>
      <c r="C428" s="43" t="s">
        <v>299</v>
      </c>
      <c r="D428" s="50">
        <f t="shared" si="80"/>
        <v>1988211</v>
      </c>
      <c r="E428" s="50">
        <f t="shared" si="80"/>
        <v>1117850.44</v>
      </c>
      <c r="F428" s="50">
        <f t="shared" si="76"/>
        <v>870360.56</v>
      </c>
    </row>
    <row r="429" spans="1:6" x14ac:dyDescent="0.25">
      <c r="A429" s="57" t="s">
        <v>650</v>
      </c>
      <c r="B429" s="61" t="s">
        <v>134</v>
      </c>
      <c r="C429" s="43" t="s">
        <v>300</v>
      </c>
      <c r="D429" s="50">
        <f>1988211</f>
        <v>1988211</v>
      </c>
      <c r="E429" s="50">
        <v>1117850.44</v>
      </c>
      <c r="F429" s="50">
        <f t="shared" si="76"/>
        <v>870360.56</v>
      </c>
    </row>
    <row r="430" spans="1:6" ht="22.5" x14ac:dyDescent="0.25">
      <c r="A430" s="57" t="s">
        <v>652</v>
      </c>
      <c r="B430" s="61" t="s">
        <v>134</v>
      </c>
      <c r="C430" s="43" t="s">
        <v>798</v>
      </c>
      <c r="D430" s="50">
        <f>D431+D434+D440</f>
        <v>347000</v>
      </c>
      <c r="E430" s="50">
        <f>E431+E434+E440</f>
        <v>156249.70000000001</v>
      </c>
      <c r="F430" s="50">
        <f t="shared" si="76"/>
        <v>190750.3</v>
      </c>
    </row>
    <row r="431" spans="1:6" ht="33.75" x14ac:dyDescent="0.25">
      <c r="A431" s="57" t="s">
        <v>653</v>
      </c>
      <c r="B431" s="61" t="s">
        <v>134</v>
      </c>
      <c r="C431" s="43" t="s">
        <v>301</v>
      </c>
      <c r="D431" s="50">
        <f t="shared" ref="D431:E432" si="81">D432</f>
        <v>14000</v>
      </c>
      <c r="E431" s="50">
        <f t="shared" si="81"/>
        <v>12300</v>
      </c>
      <c r="F431" s="50">
        <f t="shared" si="76"/>
        <v>1700</v>
      </c>
    </row>
    <row r="432" spans="1:6" x14ac:dyDescent="0.25">
      <c r="A432" s="57" t="s">
        <v>649</v>
      </c>
      <c r="B432" s="61" t="s">
        <v>134</v>
      </c>
      <c r="C432" s="43" t="s">
        <v>302</v>
      </c>
      <c r="D432" s="50">
        <f t="shared" si="81"/>
        <v>14000</v>
      </c>
      <c r="E432" s="50">
        <f t="shared" si="81"/>
        <v>12300</v>
      </c>
      <c r="F432" s="50">
        <f t="shared" si="76"/>
        <v>1700</v>
      </c>
    </row>
    <row r="433" spans="1:6" x14ac:dyDescent="0.25">
      <c r="A433" s="57" t="s">
        <v>650</v>
      </c>
      <c r="B433" s="61" t="s">
        <v>134</v>
      </c>
      <c r="C433" s="43" t="s">
        <v>303</v>
      </c>
      <c r="D433" s="50">
        <f>14000</f>
        <v>14000</v>
      </c>
      <c r="E433" s="50">
        <v>12300</v>
      </c>
      <c r="F433" s="50">
        <f t="shared" si="76"/>
        <v>1700</v>
      </c>
    </row>
    <row r="434" spans="1:6" ht="45" x14ac:dyDescent="0.25">
      <c r="A434" s="57" t="s">
        <v>654</v>
      </c>
      <c r="B434" s="61" t="s">
        <v>134</v>
      </c>
      <c r="C434" s="43" t="s">
        <v>304</v>
      </c>
      <c r="D434" s="50">
        <f>D435+D438</f>
        <v>233000</v>
      </c>
      <c r="E434" s="50">
        <f>E435+E438</f>
        <v>55999.7</v>
      </c>
      <c r="F434" s="50">
        <f t="shared" si="76"/>
        <v>177000.3</v>
      </c>
    </row>
    <row r="435" spans="1:6" ht="22.5" x14ac:dyDescent="0.25">
      <c r="A435" s="57" t="s">
        <v>522</v>
      </c>
      <c r="B435" s="61" t="s">
        <v>134</v>
      </c>
      <c r="C435" s="43" t="s">
        <v>799</v>
      </c>
      <c r="D435" s="50">
        <f t="shared" ref="D435:E436" si="82">D436</f>
        <v>118000</v>
      </c>
      <c r="E435" s="50">
        <f t="shared" si="82"/>
        <v>28999.7</v>
      </c>
      <c r="F435" s="50">
        <f t="shared" si="76"/>
        <v>89000.3</v>
      </c>
    </row>
    <row r="436" spans="1:6" ht="22.5" x14ac:dyDescent="0.25">
      <c r="A436" s="57" t="s">
        <v>523</v>
      </c>
      <c r="B436" s="61" t="s">
        <v>134</v>
      </c>
      <c r="C436" s="43" t="s">
        <v>800</v>
      </c>
      <c r="D436" s="50">
        <f t="shared" si="82"/>
        <v>118000</v>
      </c>
      <c r="E436" s="50">
        <f t="shared" si="82"/>
        <v>28999.7</v>
      </c>
      <c r="F436" s="50">
        <f t="shared" si="76"/>
        <v>89000.3</v>
      </c>
    </row>
    <row r="437" spans="1:6" ht="22.5" x14ac:dyDescent="0.25">
      <c r="A437" s="57" t="s">
        <v>524</v>
      </c>
      <c r="B437" s="61" t="s">
        <v>134</v>
      </c>
      <c r="C437" s="43" t="s">
        <v>801</v>
      </c>
      <c r="D437" s="50">
        <v>118000</v>
      </c>
      <c r="E437" s="50">
        <v>28999.7</v>
      </c>
      <c r="F437" s="50">
        <f t="shared" si="76"/>
        <v>89000.3</v>
      </c>
    </row>
    <row r="438" spans="1:6" x14ac:dyDescent="0.25">
      <c r="A438" s="57" t="s">
        <v>649</v>
      </c>
      <c r="B438" s="61" t="s">
        <v>134</v>
      </c>
      <c r="C438" s="43" t="s">
        <v>305</v>
      </c>
      <c r="D438" s="50">
        <f>D439</f>
        <v>115000</v>
      </c>
      <c r="E438" s="50">
        <f>E439</f>
        <v>27000</v>
      </c>
      <c r="F438" s="50">
        <f t="shared" si="76"/>
        <v>88000</v>
      </c>
    </row>
    <row r="439" spans="1:6" x14ac:dyDescent="0.25">
      <c r="A439" s="57" t="s">
        <v>650</v>
      </c>
      <c r="B439" s="61" t="s">
        <v>134</v>
      </c>
      <c r="C439" s="43" t="s">
        <v>306</v>
      </c>
      <c r="D439" s="50">
        <f>115000</f>
        <v>115000</v>
      </c>
      <c r="E439" s="50">
        <v>27000</v>
      </c>
      <c r="F439" s="50">
        <f t="shared" si="76"/>
        <v>88000</v>
      </c>
    </row>
    <row r="440" spans="1:6" ht="36" customHeight="1" x14ac:dyDescent="0.25">
      <c r="A440" s="57" t="s">
        <v>655</v>
      </c>
      <c r="B440" s="61" t="s">
        <v>134</v>
      </c>
      <c r="C440" s="43" t="s">
        <v>307</v>
      </c>
      <c r="D440" s="50">
        <f t="shared" ref="D440:E442" si="83">D441</f>
        <v>100000</v>
      </c>
      <c r="E440" s="50">
        <f t="shared" si="83"/>
        <v>87950</v>
      </c>
      <c r="F440" s="50">
        <f t="shared" si="76"/>
        <v>12050</v>
      </c>
    </row>
    <row r="441" spans="1:6" ht="22.5" x14ac:dyDescent="0.25">
      <c r="A441" s="57" t="s">
        <v>522</v>
      </c>
      <c r="B441" s="61" t="s">
        <v>134</v>
      </c>
      <c r="C441" s="43" t="s">
        <v>802</v>
      </c>
      <c r="D441" s="50">
        <f t="shared" si="83"/>
        <v>100000</v>
      </c>
      <c r="E441" s="50">
        <f t="shared" si="83"/>
        <v>87950</v>
      </c>
      <c r="F441" s="50">
        <f t="shared" si="76"/>
        <v>12050</v>
      </c>
    </row>
    <row r="442" spans="1:6" ht="22.5" x14ac:dyDescent="0.25">
      <c r="A442" s="57" t="s">
        <v>523</v>
      </c>
      <c r="B442" s="61" t="s">
        <v>134</v>
      </c>
      <c r="C442" s="43" t="s">
        <v>803</v>
      </c>
      <c r="D442" s="50">
        <f t="shared" si="83"/>
        <v>100000</v>
      </c>
      <c r="E442" s="50">
        <f t="shared" si="83"/>
        <v>87950</v>
      </c>
      <c r="F442" s="50">
        <f t="shared" si="76"/>
        <v>12050</v>
      </c>
    </row>
    <row r="443" spans="1:6" ht="22.5" x14ac:dyDescent="0.25">
      <c r="A443" s="57" t="s">
        <v>524</v>
      </c>
      <c r="B443" s="61" t="s">
        <v>134</v>
      </c>
      <c r="C443" s="43" t="s">
        <v>804</v>
      </c>
      <c r="D443" s="50">
        <f>100000</f>
        <v>100000</v>
      </c>
      <c r="E443" s="50">
        <v>87950</v>
      </c>
      <c r="F443" s="50">
        <f t="shared" si="76"/>
        <v>12050</v>
      </c>
    </row>
    <row r="444" spans="1:6" x14ac:dyDescent="0.25">
      <c r="A444" s="57" t="s">
        <v>656</v>
      </c>
      <c r="B444" s="61" t="s">
        <v>134</v>
      </c>
      <c r="C444" s="43" t="s">
        <v>308</v>
      </c>
      <c r="D444" s="50">
        <f>D445</f>
        <v>300000</v>
      </c>
      <c r="E444" s="50">
        <f>E445</f>
        <v>201840</v>
      </c>
      <c r="F444" s="50">
        <f t="shared" si="76"/>
        <v>98160</v>
      </c>
    </row>
    <row r="445" spans="1:6" ht="12" customHeight="1" x14ac:dyDescent="0.25">
      <c r="A445" s="57" t="s">
        <v>657</v>
      </c>
      <c r="B445" s="61" t="s">
        <v>134</v>
      </c>
      <c r="C445" s="43" t="s">
        <v>309</v>
      </c>
      <c r="D445" s="50">
        <f>D447</f>
        <v>300000</v>
      </c>
      <c r="E445" s="50">
        <f>E447</f>
        <v>201840</v>
      </c>
      <c r="F445" s="50">
        <f t="shared" si="76"/>
        <v>98160</v>
      </c>
    </row>
    <row r="446" spans="1:6" ht="33.75" customHeight="1" x14ac:dyDescent="0.25">
      <c r="A446" s="57" t="s">
        <v>642</v>
      </c>
      <c r="B446" s="61" t="s">
        <v>134</v>
      </c>
      <c r="C446" s="43" t="s">
        <v>805</v>
      </c>
      <c r="D446" s="50">
        <f t="shared" ref="D446:E450" si="84">D447</f>
        <v>300000</v>
      </c>
      <c r="E446" s="50">
        <f t="shared" si="84"/>
        <v>201840</v>
      </c>
      <c r="F446" s="50">
        <f t="shared" si="76"/>
        <v>98160</v>
      </c>
    </row>
    <row r="447" spans="1:6" ht="22.5" x14ac:dyDescent="0.25">
      <c r="A447" s="57" t="s">
        <v>658</v>
      </c>
      <c r="B447" s="61" t="s">
        <v>134</v>
      </c>
      <c r="C447" s="43" t="s">
        <v>806</v>
      </c>
      <c r="D447" s="50">
        <f t="shared" si="84"/>
        <v>300000</v>
      </c>
      <c r="E447" s="50">
        <f t="shared" si="84"/>
        <v>201840</v>
      </c>
      <c r="F447" s="50">
        <f t="shared" si="76"/>
        <v>98160</v>
      </c>
    </row>
    <row r="448" spans="1:6" ht="45" x14ac:dyDescent="0.25">
      <c r="A448" s="57" t="s">
        <v>527</v>
      </c>
      <c r="B448" s="61" t="s">
        <v>134</v>
      </c>
      <c r="C448" s="43" t="s">
        <v>310</v>
      </c>
      <c r="D448" s="50">
        <f t="shared" si="84"/>
        <v>300000</v>
      </c>
      <c r="E448" s="50">
        <f t="shared" si="84"/>
        <v>201840</v>
      </c>
      <c r="F448" s="50">
        <f t="shared" si="76"/>
        <v>98160</v>
      </c>
    </row>
    <row r="449" spans="1:6" ht="22.5" x14ac:dyDescent="0.25">
      <c r="A449" s="57" t="s">
        <v>522</v>
      </c>
      <c r="B449" s="61" t="s">
        <v>134</v>
      </c>
      <c r="C449" s="43" t="s">
        <v>311</v>
      </c>
      <c r="D449" s="50">
        <f t="shared" si="84"/>
        <v>300000</v>
      </c>
      <c r="E449" s="50">
        <f t="shared" si="84"/>
        <v>201840</v>
      </c>
      <c r="F449" s="50">
        <f t="shared" si="76"/>
        <v>98160</v>
      </c>
    </row>
    <row r="450" spans="1:6" ht="22.5" x14ac:dyDescent="0.25">
      <c r="A450" s="57" t="s">
        <v>523</v>
      </c>
      <c r="B450" s="61" t="s">
        <v>134</v>
      </c>
      <c r="C450" s="43" t="s">
        <v>312</v>
      </c>
      <c r="D450" s="50">
        <f t="shared" si="84"/>
        <v>300000</v>
      </c>
      <c r="E450" s="50">
        <f t="shared" si="84"/>
        <v>201840</v>
      </c>
      <c r="F450" s="50">
        <f t="shared" si="76"/>
        <v>98160</v>
      </c>
    </row>
    <row r="451" spans="1:6" ht="22.5" x14ac:dyDescent="0.25">
      <c r="A451" s="57" t="s">
        <v>524</v>
      </c>
      <c r="B451" s="61" t="s">
        <v>134</v>
      </c>
      <c r="C451" s="43" t="s">
        <v>313</v>
      </c>
      <c r="D451" s="50">
        <f>300000</f>
        <v>300000</v>
      </c>
      <c r="E451" s="50">
        <v>201840</v>
      </c>
      <c r="F451" s="50">
        <f t="shared" si="76"/>
        <v>98160</v>
      </c>
    </row>
    <row r="452" spans="1:6" ht="21.75" customHeight="1" x14ac:dyDescent="0.25">
      <c r="A452" s="57" t="s">
        <v>659</v>
      </c>
      <c r="B452" s="61" t="s">
        <v>134</v>
      </c>
      <c r="C452" s="43" t="s">
        <v>111</v>
      </c>
      <c r="D452" s="50">
        <f>D453+D483+D493+D510</f>
        <v>20045841.43</v>
      </c>
      <c r="E452" s="50">
        <f>E453+E483+E493+E510</f>
        <v>11191054.399999999</v>
      </c>
      <c r="F452" s="50">
        <f t="shared" si="76"/>
        <v>8854787.0300000012</v>
      </c>
    </row>
    <row r="453" spans="1:6" x14ac:dyDescent="0.25">
      <c r="A453" s="57" t="s">
        <v>513</v>
      </c>
      <c r="B453" s="61" t="s">
        <v>134</v>
      </c>
      <c r="C453" s="43" t="s">
        <v>314</v>
      </c>
      <c r="D453" s="50">
        <f>D454+D477</f>
        <v>5613470.4299999997</v>
      </c>
      <c r="E453" s="50">
        <f>E454+E477</f>
        <v>3127256.56</v>
      </c>
      <c r="F453" s="50">
        <f t="shared" si="76"/>
        <v>2486213.8699999996</v>
      </c>
    </row>
    <row r="454" spans="1:6" ht="22.5" x14ac:dyDescent="0.25">
      <c r="A454" s="57" t="s">
        <v>534</v>
      </c>
      <c r="B454" s="61" t="s">
        <v>134</v>
      </c>
      <c r="C454" s="43" t="s">
        <v>315</v>
      </c>
      <c r="D454" s="50">
        <f>D455</f>
        <v>5363470.43</v>
      </c>
      <c r="E454" s="50">
        <f>E455</f>
        <v>3127256.56</v>
      </c>
      <c r="F454" s="50">
        <f t="shared" si="76"/>
        <v>2236213.8699999996</v>
      </c>
    </row>
    <row r="455" spans="1:6" ht="22.5" x14ac:dyDescent="0.25">
      <c r="A455" s="57" t="s">
        <v>660</v>
      </c>
      <c r="B455" s="61" t="s">
        <v>134</v>
      </c>
      <c r="C455" s="43" t="s">
        <v>807</v>
      </c>
      <c r="D455" s="50">
        <f>D456+D461</f>
        <v>5363470.43</v>
      </c>
      <c r="E455" s="50">
        <f>E456+E461</f>
        <v>3127256.56</v>
      </c>
      <c r="F455" s="50">
        <f t="shared" si="76"/>
        <v>2236213.8699999996</v>
      </c>
    </row>
    <row r="456" spans="1:6" ht="22.5" x14ac:dyDescent="0.25">
      <c r="A456" s="57" t="s">
        <v>661</v>
      </c>
      <c r="B456" s="61" t="s">
        <v>134</v>
      </c>
      <c r="C456" s="43" t="s">
        <v>808</v>
      </c>
      <c r="D456" s="50">
        <f t="shared" ref="D456:E459" si="85">D457</f>
        <v>402500</v>
      </c>
      <c r="E456" s="50">
        <f t="shared" si="85"/>
        <v>239785.98</v>
      </c>
      <c r="F456" s="50">
        <f t="shared" si="76"/>
        <v>162714.01999999999</v>
      </c>
    </row>
    <row r="457" spans="1:6" ht="45" x14ac:dyDescent="0.25">
      <c r="A457" s="57" t="s">
        <v>527</v>
      </c>
      <c r="B457" s="61" t="s">
        <v>134</v>
      </c>
      <c r="C457" s="43" t="s">
        <v>316</v>
      </c>
      <c r="D457" s="50">
        <f t="shared" si="85"/>
        <v>402500</v>
      </c>
      <c r="E457" s="50">
        <f t="shared" si="85"/>
        <v>239785.98</v>
      </c>
      <c r="F457" s="50">
        <f t="shared" si="76"/>
        <v>162714.01999999999</v>
      </c>
    </row>
    <row r="458" spans="1:6" ht="22.5" x14ac:dyDescent="0.25">
      <c r="A458" s="57" t="s">
        <v>522</v>
      </c>
      <c r="B458" s="61" t="s">
        <v>134</v>
      </c>
      <c r="C458" s="43" t="s">
        <v>317</v>
      </c>
      <c r="D458" s="50">
        <f t="shared" si="85"/>
        <v>402500</v>
      </c>
      <c r="E458" s="50">
        <f t="shared" si="85"/>
        <v>239785.98</v>
      </c>
      <c r="F458" s="50">
        <f t="shared" si="76"/>
        <v>162714.01999999999</v>
      </c>
    </row>
    <row r="459" spans="1:6" ht="22.5" x14ac:dyDescent="0.25">
      <c r="A459" s="57" t="s">
        <v>523</v>
      </c>
      <c r="B459" s="61" t="s">
        <v>134</v>
      </c>
      <c r="C459" s="43" t="s">
        <v>318</v>
      </c>
      <c r="D459" s="50">
        <f t="shared" si="85"/>
        <v>402500</v>
      </c>
      <c r="E459" s="50">
        <f t="shared" si="85"/>
        <v>239785.98</v>
      </c>
      <c r="F459" s="50">
        <f t="shared" si="76"/>
        <v>162714.01999999999</v>
      </c>
    </row>
    <row r="460" spans="1:6" ht="22.5" x14ac:dyDescent="0.25">
      <c r="A460" s="57" t="s">
        <v>528</v>
      </c>
      <c r="B460" s="61" t="s">
        <v>134</v>
      </c>
      <c r="C460" s="43" t="s">
        <v>845</v>
      </c>
      <c r="D460" s="50">
        <f>402500</f>
        <v>402500</v>
      </c>
      <c r="E460" s="50">
        <v>239785.98</v>
      </c>
      <c r="F460" s="50">
        <f t="shared" si="76"/>
        <v>162714.01999999999</v>
      </c>
    </row>
    <row r="461" spans="1:6" ht="22.5" x14ac:dyDescent="0.25">
      <c r="A461" s="57" t="s">
        <v>662</v>
      </c>
      <c r="B461" s="61" t="s">
        <v>134</v>
      </c>
      <c r="C461" s="43" t="s">
        <v>809</v>
      </c>
      <c r="D461" s="50">
        <f>D462+D466</f>
        <v>4960970.43</v>
      </c>
      <c r="E461" s="50">
        <f>E462+E466</f>
        <v>2887470.58</v>
      </c>
      <c r="F461" s="50">
        <f t="shared" si="76"/>
        <v>2073499.8499999996</v>
      </c>
    </row>
    <row r="462" spans="1:6" ht="22.5" x14ac:dyDescent="0.25">
      <c r="A462" s="57" t="s">
        <v>374</v>
      </c>
      <c r="B462" s="61" t="s">
        <v>134</v>
      </c>
      <c r="C462" s="43" t="s">
        <v>319</v>
      </c>
      <c r="D462" s="50">
        <f t="shared" ref="D462:E464" si="86">D463</f>
        <v>3650708</v>
      </c>
      <c r="E462" s="50">
        <f t="shared" si="86"/>
        <v>2228873.2999999998</v>
      </c>
      <c r="F462" s="50">
        <f t="shared" si="76"/>
        <v>1421834.7000000002</v>
      </c>
    </row>
    <row r="463" spans="1:6" ht="45" x14ac:dyDescent="0.25">
      <c r="A463" s="57" t="s">
        <v>515</v>
      </c>
      <c r="B463" s="61" t="s">
        <v>134</v>
      </c>
      <c r="C463" s="43" t="s">
        <v>320</v>
      </c>
      <c r="D463" s="50">
        <f t="shared" si="86"/>
        <v>3650708</v>
      </c>
      <c r="E463" s="50">
        <f t="shared" si="86"/>
        <v>2228873.2999999998</v>
      </c>
      <c r="F463" s="50">
        <f t="shared" si="76"/>
        <v>1421834.7000000002</v>
      </c>
    </row>
    <row r="464" spans="1:6" ht="22.5" x14ac:dyDescent="0.25">
      <c r="A464" s="57" t="s">
        <v>516</v>
      </c>
      <c r="B464" s="61" t="s">
        <v>134</v>
      </c>
      <c r="C464" s="43" t="s">
        <v>321</v>
      </c>
      <c r="D464" s="50">
        <f t="shared" si="86"/>
        <v>3650708</v>
      </c>
      <c r="E464" s="50">
        <f t="shared" si="86"/>
        <v>2228873.2999999998</v>
      </c>
      <c r="F464" s="50">
        <f t="shared" si="76"/>
        <v>1421834.7000000002</v>
      </c>
    </row>
    <row r="465" spans="1:6" x14ac:dyDescent="0.25">
      <c r="A465" s="57" t="s">
        <v>517</v>
      </c>
      <c r="B465" s="61" t="s">
        <v>134</v>
      </c>
      <c r="C465" s="43" t="s">
        <v>322</v>
      </c>
      <c r="D465" s="50">
        <f>3650708</f>
        <v>3650708</v>
      </c>
      <c r="E465" s="50">
        <v>2228873.2999999998</v>
      </c>
      <c r="F465" s="50">
        <f t="shared" si="76"/>
        <v>1421834.7000000002</v>
      </c>
    </row>
    <row r="466" spans="1:6" ht="22.5" x14ac:dyDescent="0.25">
      <c r="A466" s="57" t="s">
        <v>518</v>
      </c>
      <c r="B466" s="61" t="s">
        <v>134</v>
      </c>
      <c r="C466" s="43" t="s">
        <v>323</v>
      </c>
      <c r="D466" s="50">
        <f>D467+D471+D474</f>
        <v>1310262.4300000002</v>
      </c>
      <c r="E466" s="50">
        <f>E467+E471+E474</f>
        <v>658597.28</v>
      </c>
      <c r="F466" s="50">
        <f t="shared" ref="F466:F518" si="87">D466-E466</f>
        <v>651665.15000000014</v>
      </c>
    </row>
    <row r="467" spans="1:6" ht="45" x14ac:dyDescent="0.25">
      <c r="A467" s="57" t="s">
        <v>515</v>
      </c>
      <c r="B467" s="61" t="s">
        <v>134</v>
      </c>
      <c r="C467" s="43" t="s">
        <v>324</v>
      </c>
      <c r="D467" s="50">
        <f>D468</f>
        <v>1212262.4300000002</v>
      </c>
      <c r="E467" s="50">
        <f>E468</f>
        <v>639305.28</v>
      </c>
      <c r="F467" s="50">
        <f t="shared" si="87"/>
        <v>572957.15000000014</v>
      </c>
    </row>
    <row r="468" spans="1:6" ht="22.5" x14ac:dyDescent="0.25">
      <c r="A468" s="57" t="s">
        <v>516</v>
      </c>
      <c r="B468" s="61" t="s">
        <v>134</v>
      </c>
      <c r="C468" s="43" t="s">
        <v>325</v>
      </c>
      <c r="D468" s="50">
        <f>D469+D470</f>
        <v>1212262.4300000002</v>
      </c>
      <c r="E468" s="50">
        <f>E469+E470</f>
        <v>639305.28</v>
      </c>
      <c r="F468" s="50">
        <f t="shared" si="87"/>
        <v>572957.15000000014</v>
      </c>
    </row>
    <row r="469" spans="1:6" ht="36" customHeight="1" x14ac:dyDescent="0.25">
      <c r="A469" s="57" t="s">
        <v>519</v>
      </c>
      <c r="B469" s="61" t="s">
        <v>134</v>
      </c>
      <c r="C469" s="43" t="s">
        <v>326</v>
      </c>
      <c r="D469" s="50">
        <f>220000</f>
        <v>220000</v>
      </c>
      <c r="E469" s="50">
        <v>765</v>
      </c>
      <c r="F469" s="50">
        <f t="shared" si="87"/>
        <v>219235</v>
      </c>
    </row>
    <row r="470" spans="1:6" ht="34.5" customHeight="1" x14ac:dyDescent="0.25">
      <c r="A470" s="58" t="s">
        <v>526</v>
      </c>
      <c r="B470" s="61" t="s">
        <v>134</v>
      </c>
      <c r="C470" s="43" t="s">
        <v>327</v>
      </c>
      <c r="D470" s="50">
        <f>992262.43</f>
        <v>992262.43</v>
      </c>
      <c r="E470" s="50">
        <v>638540.28</v>
      </c>
      <c r="F470" s="50">
        <f t="shared" si="87"/>
        <v>353722.15</v>
      </c>
    </row>
    <row r="471" spans="1:6" ht="22.5" x14ac:dyDescent="0.25">
      <c r="A471" s="57" t="s">
        <v>522</v>
      </c>
      <c r="B471" s="61" t="s">
        <v>134</v>
      </c>
      <c r="C471" s="43" t="s">
        <v>328</v>
      </c>
      <c r="D471" s="50">
        <f>D472</f>
        <v>96000</v>
      </c>
      <c r="E471" s="50">
        <f>E472</f>
        <v>19292</v>
      </c>
      <c r="F471" s="50">
        <f t="shared" si="87"/>
        <v>76708</v>
      </c>
    </row>
    <row r="472" spans="1:6" ht="22.5" x14ac:dyDescent="0.25">
      <c r="A472" s="57" t="s">
        <v>523</v>
      </c>
      <c r="B472" s="61" t="s">
        <v>134</v>
      </c>
      <c r="C472" s="43" t="s">
        <v>329</v>
      </c>
      <c r="D472" s="50">
        <f>D473</f>
        <v>96000</v>
      </c>
      <c r="E472" s="50">
        <f>E473</f>
        <v>19292</v>
      </c>
      <c r="F472" s="50">
        <f t="shared" si="87"/>
        <v>76708</v>
      </c>
    </row>
    <row r="473" spans="1:6" ht="22.5" x14ac:dyDescent="0.25">
      <c r="A473" s="57" t="s">
        <v>524</v>
      </c>
      <c r="B473" s="61" t="s">
        <v>134</v>
      </c>
      <c r="C473" s="43" t="s">
        <v>330</v>
      </c>
      <c r="D473" s="50">
        <f>96000</f>
        <v>96000</v>
      </c>
      <c r="E473" s="50">
        <v>19292</v>
      </c>
      <c r="F473" s="50">
        <f t="shared" si="87"/>
        <v>76708</v>
      </c>
    </row>
    <row r="474" spans="1:6" x14ac:dyDescent="0.25">
      <c r="A474" s="57" t="s">
        <v>531</v>
      </c>
      <c r="B474" s="61" t="s">
        <v>134</v>
      </c>
      <c r="C474" s="43" t="s">
        <v>810</v>
      </c>
      <c r="D474" s="50">
        <f t="shared" ref="D474:E475" si="88">D475</f>
        <v>2000</v>
      </c>
      <c r="E474" s="50">
        <f t="shared" si="88"/>
        <v>0</v>
      </c>
      <c r="F474" s="50">
        <f t="shared" si="87"/>
        <v>2000</v>
      </c>
    </row>
    <row r="475" spans="1:6" x14ac:dyDescent="0.25">
      <c r="A475" s="57" t="s">
        <v>532</v>
      </c>
      <c r="B475" s="61" t="s">
        <v>134</v>
      </c>
      <c r="C475" s="43" t="s">
        <v>811</v>
      </c>
      <c r="D475" s="50">
        <f t="shared" si="88"/>
        <v>2000</v>
      </c>
      <c r="E475" s="50">
        <f t="shared" si="88"/>
        <v>0</v>
      </c>
      <c r="F475" s="50">
        <f t="shared" si="87"/>
        <v>2000</v>
      </c>
    </row>
    <row r="476" spans="1:6" x14ac:dyDescent="0.25">
      <c r="A476" s="57" t="s">
        <v>533</v>
      </c>
      <c r="B476" s="61" t="s">
        <v>134</v>
      </c>
      <c r="C476" s="43" t="s">
        <v>812</v>
      </c>
      <c r="D476" s="50">
        <f>2000</f>
        <v>2000</v>
      </c>
      <c r="E476" s="50">
        <v>0</v>
      </c>
      <c r="F476" s="50">
        <f t="shared" si="87"/>
        <v>2000</v>
      </c>
    </row>
    <row r="477" spans="1:6" x14ac:dyDescent="0.25">
      <c r="A477" s="57" t="s">
        <v>663</v>
      </c>
      <c r="B477" s="61" t="s">
        <v>134</v>
      </c>
      <c r="C477" s="43" t="s">
        <v>331</v>
      </c>
      <c r="D477" s="50">
        <f t="shared" ref="D477:E481" si="89">D478</f>
        <v>250000</v>
      </c>
      <c r="E477" s="50">
        <f t="shared" si="89"/>
        <v>0</v>
      </c>
      <c r="F477" s="50">
        <f t="shared" si="87"/>
        <v>250000</v>
      </c>
    </row>
    <row r="478" spans="1:6" ht="22.5" x14ac:dyDescent="0.25">
      <c r="A478" s="57" t="s">
        <v>660</v>
      </c>
      <c r="B478" s="61" t="s">
        <v>134</v>
      </c>
      <c r="C478" s="43" t="s">
        <v>813</v>
      </c>
      <c r="D478" s="50">
        <f t="shared" si="89"/>
        <v>250000</v>
      </c>
      <c r="E478" s="50">
        <f t="shared" si="89"/>
        <v>0</v>
      </c>
      <c r="F478" s="50">
        <f t="shared" si="87"/>
        <v>250000</v>
      </c>
    </row>
    <row r="479" spans="1:6" ht="33.75" x14ac:dyDescent="0.25">
      <c r="A479" s="57" t="s">
        <v>664</v>
      </c>
      <c r="B479" s="61" t="s">
        <v>134</v>
      </c>
      <c r="C479" s="43" t="s">
        <v>814</v>
      </c>
      <c r="D479" s="50">
        <f t="shared" si="89"/>
        <v>250000</v>
      </c>
      <c r="E479" s="50">
        <f t="shared" si="89"/>
        <v>0</v>
      </c>
      <c r="F479" s="50">
        <f t="shared" si="87"/>
        <v>250000</v>
      </c>
    </row>
    <row r="480" spans="1:6" ht="22.5" x14ac:dyDescent="0.25">
      <c r="A480" s="57" t="s">
        <v>665</v>
      </c>
      <c r="B480" s="61" t="s">
        <v>134</v>
      </c>
      <c r="C480" s="43" t="s">
        <v>332</v>
      </c>
      <c r="D480" s="50">
        <f t="shared" si="89"/>
        <v>250000</v>
      </c>
      <c r="E480" s="50">
        <f t="shared" si="89"/>
        <v>0</v>
      </c>
      <c r="F480" s="50">
        <f t="shared" si="87"/>
        <v>250000</v>
      </c>
    </row>
    <row r="481" spans="1:6" x14ac:dyDescent="0.25">
      <c r="A481" s="57" t="s">
        <v>531</v>
      </c>
      <c r="B481" s="61" t="s">
        <v>134</v>
      </c>
      <c r="C481" s="43" t="s">
        <v>815</v>
      </c>
      <c r="D481" s="50">
        <f t="shared" si="89"/>
        <v>250000</v>
      </c>
      <c r="E481" s="50">
        <f t="shared" si="89"/>
        <v>0</v>
      </c>
      <c r="F481" s="50">
        <f t="shared" si="87"/>
        <v>250000</v>
      </c>
    </row>
    <row r="482" spans="1:6" x14ac:dyDescent="0.25">
      <c r="A482" s="57" t="s">
        <v>666</v>
      </c>
      <c r="B482" s="61" t="s">
        <v>134</v>
      </c>
      <c r="C482" s="43" t="s">
        <v>816</v>
      </c>
      <c r="D482" s="50">
        <f>250000</f>
        <v>250000</v>
      </c>
      <c r="E482" s="50">
        <v>0</v>
      </c>
      <c r="F482" s="50">
        <f t="shared" si="87"/>
        <v>250000</v>
      </c>
    </row>
    <row r="483" spans="1:6" x14ac:dyDescent="0.25">
      <c r="A483" s="57" t="s">
        <v>667</v>
      </c>
      <c r="B483" s="61" t="s">
        <v>134</v>
      </c>
      <c r="C483" s="43" t="s">
        <v>333</v>
      </c>
      <c r="D483" s="50">
        <f t="shared" ref="D483:E488" si="90">D484</f>
        <v>4563984</v>
      </c>
      <c r="E483" s="50">
        <f t="shared" si="90"/>
        <v>3304301.07</v>
      </c>
      <c r="F483" s="50">
        <f t="shared" si="87"/>
        <v>1259682.9300000002</v>
      </c>
    </row>
    <row r="484" spans="1:6" x14ac:dyDescent="0.25">
      <c r="A484" s="57" t="s">
        <v>668</v>
      </c>
      <c r="B484" s="61" t="s">
        <v>134</v>
      </c>
      <c r="C484" s="43" t="s">
        <v>334</v>
      </c>
      <c r="D484" s="50">
        <f t="shared" si="90"/>
        <v>4563984</v>
      </c>
      <c r="E484" s="50">
        <f t="shared" si="90"/>
        <v>3304301.07</v>
      </c>
      <c r="F484" s="50">
        <f t="shared" si="87"/>
        <v>1259682.9300000002</v>
      </c>
    </row>
    <row r="485" spans="1:6" ht="33.75" x14ac:dyDescent="0.25">
      <c r="A485" s="57" t="s">
        <v>462</v>
      </c>
      <c r="B485" s="61" t="s">
        <v>134</v>
      </c>
      <c r="C485" s="43" t="s">
        <v>817</v>
      </c>
      <c r="D485" s="50">
        <f t="shared" si="90"/>
        <v>4563984</v>
      </c>
      <c r="E485" s="50">
        <f t="shared" si="90"/>
        <v>3304301.07</v>
      </c>
      <c r="F485" s="50">
        <f t="shared" si="87"/>
        <v>1259682.9300000002</v>
      </c>
    </row>
    <row r="486" spans="1:6" x14ac:dyDescent="0.25">
      <c r="A486" s="59" t="s">
        <v>463</v>
      </c>
      <c r="B486" s="61" t="s">
        <v>134</v>
      </c>
      <c r="C486" s="43" t="s">
        <v>818</v>
      </c>
      <c r="D486" s="50">
        <f>D487+D490</f>
        <v>4563984</v>
      </c>
      <c r="E486" s="50">
        <f>E487+E490</f>
        <v>3304301.07</v>
      </c>
      <c r="F486" s="50">
        <f t="shared" si="87"/>
        <v>1259682.9300000002</v>
      </c>
    </row>
    <row r="487" spans="1:6" ht="22.5" x14ac:dyDescent="0.25">
      <c r="A487" s="57" t="s">
        <v>669</v>
      </c>
      <c r="B487" s="61" t="s">
        <v>134</v>
      </c>
      <c r="C487" s="43" t="s">
        <v>335</v>
      </c>
      <c r="D487" s="50">
        <f>D488</f>
        <v>4276945.74</v>
      </c>
      <c r="E487" s="50">
        <f>E488</f>
        <v>3025436</v>
      </c>
      <c r="F487" s="50">
        <f t="shared" si="87"/>
        <v>1251509.7400000002</v>
      </c>
    </row>
    <row r="488" spans="1:6" x14ac:dyDescent="0.25">
      <c r="A488" s="57" t="s">
        <v>531</v>
      </c>
      <c r="B488" s="61" t="s">
        <v>134</v>
      </c>
      <c r="C488" s="43" t="s">
        <v>336</v>
      </c>
      <c r="D488" s="50">
        <f t="shared" si="90"/>
        <v>4276945.74</v>
      </c>
      <c r="E488" s="50">
        <f t="shared" si="90"/>
        <v>3025436</v>
      </c>
      <c r="F488" s="50">
        <f t="shared" si="87"/>
        <v>1251509.7400000002</v>
      </c>
    </row>
    <row r="489" spans="1:6" ht="33.75" x14ac:dyDescent="0.25">
      <c r="A489" s="57" t="s">
        <v>607</v>
      </c>
      <c r="B489" s="61" t="s">
        <v>134</v>
      </c>
      <c r="C489" s="43" t="s">
        <v>337</v>
      </c>
      <c r="D489" s="50">
        <f>4276945.74</f>
        <v>4276945.74</v>
      </c>
      <c r="E489" s="50">
        <v>3025436</v>
      </c>
      <c r="F489" s="50">
        <f t="shared" si="87"/>
        <v>1251509.7400000002</v>
      </c>
    </row>
    <row r="490" spans="1:6" ht="46.5" customHeight="1" x14ac:dyDescent="0.25">
      <c r="A490" s="57" t="str">
        <f>[1]июнь!A725</f>
        <v xml:space="preserve">Субсидии в целях возмещения недополученных доходов в связи с оказанием услуг по городским пассажирским перевозкам </v>
      </c>
      <c r="B490" s="61" t="s">
        <v>134</v>
      </c>
      <c r="C490" s="43" t="s">
        <v>836</v>
      </c>
      <c r="D490" s="50">
        <f>D491</f>
        <v>287038.26</v>
      </c>
      <c r="E490" s="50">
        <f>E491</f>
        <v>278865.07</v>
      </c>
      <c r="F490" s="50">
        <f t="shared" si="87"/>
        <v>8173.1900000000023</v>
      </c>
    </row>
    <row r="491" spans="1:6" x14ac:dyDescent="0.25">
      <c r="A491" s="57" t="str">
        <f>[1]июнь!A726</f>
        <v>Иные бюджетные ассигнования</v>
      </c>
      <c r="B491" s="61" t="s">
        <v>134</v>
      </c>
      <c r="C491" s="43" t="s">
        <v>837</v>
      </c>
      <c r="D491" s="50">
        <f>D492</f>
        <v>287038.26</v>
      </c>
      <c r="E491" s="50">
        <f>E492</f>
        <v>278865.07</v>
      </c>
      <c r="F491" s="50">
        <f t="shared" si="87"/>
        <v>8173.1900000000023</v>
      </c>
    </row>
    <row r="492" spans="1:6" ht="36.75" customHeight="1" x14ac:dyDescent="0.25">
      <c r="A492" s="57" t="str">
        <f>[1]июнь!A727</f>
        <v>Субсидии юридическим лицам (кроме некоммерческих организаций), индивидуальным предпринимателям, физическим лицам -производителям товаров, работ, услуг</v>
      </c>
      <c r="B492" s="61" t="s">
        <v>134</v>
      </c>
      <c r="C492" s="43" t="s">
        <v>838</v>
      </c>
      <c r="D492" s="50">
        <v>287038.26</v>
      </c>
      <c r="E492" s="50">
        <v>278865.07</v>
      </c>
      <c r="F492" s="50">
        <f t="shared" si="87"/>
        <v>8173.1900000000023</v>
      </c>
    </row>
    <row r="493" spans="1:6" x14ac:dyDescent="0.25">
      <c r="A493" s="60" t="s">
        <v>572</v>
      </c>
      <c r="B493" s="61" t="s">
        <v>134</v>
      </c>
      <c r="C493" s="43" t="s">
        <v>338</v>
      </c>
      <c r="D493" s="50">
        <f>D494+D501</f>
        <v>9820387</v>
      </c>
      <c r="E493" s="50">
        <f>E494+E501</f>
        <v>4759496.7699999996</v>
      </c>
      <c r="F493" s="50">
        <f t="shared" si="87"/>
        <v>5060890.2300000004</v>
      </c>
    </row>
    <row r="494" spans="1:6" x14ac:dyDescent="0.25">
      <c r="A494" s="60" t="s">
        <v>573</v>
      </c>
      <c r="B494" s="61" t="s">
        <v>134</v>
      </c>
      <c r="C494" s="43" t="s">
        <v>339</v>
      </c>
      <c r="D494" s="50">
        <f>D495</f>
        <v>6083000</v>
      </c>
      <c r="E494" s="50">
        <f>E495</f>
        <v>3409898.48</v>
      </c>
      <c r="F494" s="50">
        <f t="shared" si="87"/>
        <v>2673101.52</v>
      </c>
    </row>
    <row r="495" spans="1:6" ht="33.75" x14ac:dyDescent="0.25">
      <c r="A495" s="60" t="s">
        <v>603</v>
      </c>
      <c r="B495" s="61" t="s">
        <v>134</v>
      </c>
      <c r="C495" s="44" t="s">
        <v>819</v>
      </c>
      <c r="D495" s="50">
        <f t="shared" ref="D495:E499" si="91">D496</f>
        <v>6083000</v>
      </c>
      <c r="E495" s="50">
        <f t="shared" si="91"/>
        <v>3409898.48</v>
      </c>
      <c r="F495" s="50">
        <f t="shared" si="87"/>
        <v>2673101.52</v>
      </c>
    </row>
    <row r="496" spans="1:6" ht="22.5" x14ac:dyDescent="0.25">
      <c r="A496" s="60" t="s">
        <v>670</v>
      </c>
      <c r="B496" s="61" t="s">
        <v>134</v>
      </c>
      <c r="C496" s="44" t="s">
        <v>820</v>
      </c>
      <c r="D496" s="50">
        <f t="shared" si="91"/>
        <v>6083000</v>
      </c>
      <c r="E496" s="50">
        <f t="shared" si="91"/>
        <v>3409898.48</v>
      </c>
      <c r="F496" s="50">
        <f t="shared" si="87"/>
        <v>2673101.52</v>
      </c>
    </row>
    <row r="497" spans="1:6" ht="33.75" x14ac:dyDescent="0.25">
      <c r="A497" s="60" t="s">
        <v>671</v>
      </c>
      <c r="B497" s="61" t="s">
        <v>134</v>
      </c>
      <c r="C497" s="44" t="s">
        <v>821</v>
      </c>
      <c r="D497" s="50">
        <f t="shared" si="91"/>
        <v>6083000</v>
      </c>
      <c r="E497" s="50">
        <f t="shared" si="91"/>
        <v>3409898.48</v>
      </c>
      <c r="F497" s="50">
        <f t="shared" si="87"/>
        <v>2673101.52</v>
      </c>
    </row>
    <row r="498" spans="1:6" ht="24.75" customHeight="1" x14ac:dyDescent="0.25">
      <c r="A498" s="60" t="s">
        <v>672</v>
      </c>
      <c r="B498" s="61" t="s">
        <v>134</v>
      </c>
      <c r="C498" s="44" t="s">
        <v>340</v>
      </c>
      <c r="D498" s="50">
        <f t="shared" si="91"/>
        <v>6083000</v>
      </c>
      <c r="E498" s="50">
        <f t="shared" si="91"/>
        <v>3409898.48</v>
      </c>
      <c r="F498" s="50">
        <f t="shared" si="87"/>
        <v>2673101.52</v>
      </c>
    </row>
    <row r="499" spans="1:6" x14ac:dyDescent="0.25">
      <c r="A499" s="57" t="s">
        <v>531</v>
      </c>
      <c r="B499" s="61" t="s">
        <v>134</v>
      </c>
      <c r="C499" s="44" t="s">
        <v>341</v>
      </c>
      <c r="D499" s="50">
        <f t="shared" si="91"/>
        <v>6083000</v>
      </c>
      <c r="E499" s="50">
        <f t="shared" si="91"/>
        <v>3409898.48</v>
      </c>
      <c r="F499" s="50">
        <f t="shared" si="87"/>
        <v>2673101.52</v>
      </c>
    </row>
    <row r="500" spans="1:6" ht="33.75" x14ac:dyDescent="0.25">
      <c r="A500" s="57" t="s">
        <v>607</v>
      </c>
      <c r="B500" s="61" t="s">
        <v>134</v>
      </c>
      <c r="C500" s="44" t="s">
        <v>342</v>
      </c>
      <c r="D500" s="50">
        <f>6083000</f>
        <v>6083000</v>
      </c>
      <c r="E500" s="50">
        <v>3409898.48</v>
      </c>
      <c r="F500" s="50">
        <f t="shared" si="87"/>
        <v>2673101.52</v>
      </c>
    </row>
    <row r="501" spans="1:6" x14ac:dyDescent="0.25">
      <c r="A501" s="60" t="s">
        <v>602</v>
      </c>
      <c r="B501" s="61" t="s">
        <v>134</v>
      </c>
      <c r="C501" s="43" t="s">
        <v>343</v>
      </c>
      <c r="D501" s="50">
        <f t="shared" ref="D501:E505" si="92">D502</f>
        <v>3737387</v>
      </c>
      <c r="E501" s="50">
        <f t="shared" si="92"/>
        <v>1349598.29</v>
      </c>
      <c r="F501" s="50">
        <f t="shared" si="87"/>
        <v>2387788.71</v>
      </c>
    </row>
    <row r="502" spans="1:6" x14ac:dyDescent="0.25">
      <c r="A502" s="60" t="s">
        <v>375</v>
      </c>
      <c r="B502" s="61" t="s">
        <v>134</v>
      </c>
      <c r="C502" s="43" t="s">
        <v>344</v>
      </c>
      <c r="D502" s="50">
        <f t="shared" si="92"/>
        <v>3737387</v>
      </c>
      <c r="E502" s="50">
        <f t="shared" si="92"/>
        <v>1349598.29</v>
      </c>
      <c r="F502" s="50">
        <f t="shared" si="87"/>
        <v>2387788.71</v>
      </c>
    </row>
    <row r="503" spans="1:6" ht="15.75" customHeight="1" x14ac:dyDescent="0.25">
      <c r="A503" s="60" t="s">
        <v>673</v>
      </c>
      <c r="B503" s="61" t="s">
        <v>134</v>
      </c>
      <c r="C503" s="45" t="s">
        <v>345</v>
      </c>
      <c r="D503" s="50">
        <f>D504+D507</f>
        <v>3737387</v>
      </c>
      <c r="E503" s="50">
        <f>E504+E507</f>
        <v>1349598.29</v>
      </c>
      <c r="F503" s="50">
        <f t="shared" si="87"/>
        <v>2387788.71</v>
      </c>
    </row>
    <row r="504" spans="1:6" ht="33.75" x14ac:dyDescent="0.25">
      <c r="A504" s="60" t="s">
        <v>674</v>
      </c>
      <c r="B504" s="61" t="s">
        <v>134</v>
      </c>
      <c r="C504" s="45" t="s">
        <v>839</v>
      </c>
      <c r="D504" s="50">
        <f t="shared" si="92"/>
        <v>2530635</v>
      </c>
      <c r="E504" s="50">
        <f t="shared" si="92"/>
        <v>1248888.57</v>
      </c>
      <c r="F504" s="50">
        <f t="shared" si="87"/>
        <v>1281746.43</v>
      </c>
    </row>
    <row r="505" spans="1:6" x14ac:dyDescent="0.25">
      <c r="A505" s="57" t="s">
        <v>531</v>
      </c>
      <c r="B505" s="61" t="s">
        <v>134</v>
      </c>
      <c r="C505" s="45" t="s">
        <v>840</v>
      </c>
      <c r="D505" s="50">
        <f t="shared" si="92"/>
        <v>2530635</v>
      </c>
      <c r="E505" s="50">
        <f t="shared" si="92"/>
        <v>1248888.57</v>
      </c>
      <c r="F505" s="50">
        <f t="shared" si="87"/>
        <v>1281746.43</v>
      </c>
    </row>
    <row r="506" spans="1:6" ht="33.75" x14ac:dyDescent="0.25">
      <c r="A506" s="57" t="s">
        <v>607</v>
      </c>
      <c r="B506" s="61" t="s">
        <v>134</v>
      </c>
      <c r="C506" s="45" t="s">
        <v>841</v>
      </c>
      <c r="D506" s="50">
        <f>2530635</f>
        <v>2530635</v>
      </c>
      <c r="E506" s="50">
        <v>1248888.57</v>
      </c>
      <c r="F506" s="50">
        <f t="shared" si="87"/>
        <v>1281746.43</v>
      </c>
    </row>
    <row r="507" spans="1:6" ht="35.25" customHeight="1" x14ac:dyDescent="0.25">
      <c r="A507" s="57" t="str">
        <f>[1]июнь!A745</f>
        <v>Субсидии в целях возмещения недополученных доходов при оказании услуг коммунально-бытового назначения (муниципальная баня)</v>
      </c>
      <c r="B507" s="61" t="s">
        <v>134</v>
      </c>
      <c r="C507" s="45" t="s">
        <v>842</v>
      </c>
      <c r="D507" s="50">
        <f>D508</f>
        <v>1206752</v>
      </c>
      <c r="E507" s="50">
        <f>E508</f>
        <v>100709.72</v>
      </c>
      <c r="F507" s="50">
        <f t="shared" si="87"/>
        <v>1106042.28</v>
      </c>
    </row>
    <row r="508" spans="1:6" x14ac:dyDescent="0.25">
      <c r="A508" s="57" t="str">
        <f>[1]июнь!A746</f>
        <v>Иные бюджетные ассигнования</v>
      </c>
      <c r="B508" s="61" t="s">
        <v>134</v>
      </c>
      <c r="C508" s="45" t="s">
        <v>843</v>
      </c>
      <c r="D508" s="50">
        <f>D509</f>
        <v>1206752</v>
      </c>
      <c r="E508" s="50">
        <f>E509</f>
        <v>100709.72</v>
      </c>
      <c r="F508" s="50">
        <f t="shared" si="87"/>
        <v>1106042.28</v>
      </c>
    </row>
    <row r="509" spans="1:6" ht="36.75" customHeight="1" x14ac:dyDescent="0.25">
      <c r="A509" s="57" t="str">
        <f>[1]июнь!A747</f>
        <v>Субсидии юридическим лицам (кроме некоммерческих организаций), индивидуальным предпринимателям, физическим лицам -производителям товаров, работ, услуг</v>
      </c>
      <c r="B509" s="61" t="s">
        <v>134</v>
      </c>
      <c r="C509" s="45" t="s">
        <v>844</v>
      </c>
      <c r="D509" s="50">
        <v>1206752</v>
      </c>
      <c r="E509" s="50">
        <v>100709.72</v>
      </c>
      <c r="F509" s="50">
        <f t="shared" si="87"/>
        <v>1106042.28</v>
      </c>
    </row>
    <row r="510" spans="1:6" x14ac:dyDescent="0.25">
      <c r="A510" s="60" t="s">
        <v>636</v>
      </c>
      <c r="B510" s="61" t="s">
        <v>134</v>
      </c>
      <c r="C510" s="43" t="s">
        <v>346</v>
      </c>
      <c r="D510" s="50">
        <f t="shared" ref="D510:E517" si="93">D511</f>
        <v>48000</v>
      </c>
      <c r="E510" s="50">
        <f t="shared" si="93"/>
        <v>0</v>
      </c>
      <c r="F510" s="50">
        <f t="shared" si="87"/>
        <v>48000</v>
      </c>
    </row>
    <row r="511" spans="1:6" ht="22.5" x14ac:dyDescent="0.25">
      <c r="A511" s="60" t="s">
        <v>637</v>
      </c>
      <c r="B511" s="61" t="s">
        <v>134</v>
      </c>
      <c r="C511" s="43" t="s">
        <v>347</v>
      </c>
      <c r="D511" s="50">
        <f>D512</f>
        <v>48000</v>
      </c>
      <c r="E511" s="50">
        <f>E512</f>
        <v>0</v>
      </c>
      <c r="F511" s="50">
        <f t="shared" si="87"/>
        <v>48000</v>
      </c>
    </row>
    <row r="512" spans="1:6" ht="22.5" x14ac:dyDescent="0.25">
      <c r="A512" s="60" t="s">
        <v>382</v>
      </c>
      <c r="B512" s="61" t="s">
        <v>134</v>
      </c>
      <c r="C512" s="45" t="s">
        <v>822</v>
      </c>
      <c r="D512" s="50">
        <f t="shared" si="93"/>
        <v>48000</v>
      </c>
      <c r="E512" s="50">
        <f t="shared" si="93"/>
        <v>0</v>
      </c>
      <c r="F512" s="50">
        <f t="shared" si="87"/>
        <v>48000</v>
      </c>
    </row>
    <row r="513" spans="1:6" ht="22.5" customHeight="1" x14ac:dyDescent="0.25">
      <c r="A513" s="60" t="s">
        <v>638</v>
      </c>
      <c r="B513" s="61" t="s">
        <v>134</v>
      </c>
      <c r="C513" s="45" t="s">
        <v>823</v>
      </c>
      <c r="D513" s="50">
        <f t="shared" si="93"/>
        <v>48000</v>
      </c>
      <c r="E513" s="50">
        <f t="shared" si="93"/>
        <v>0</v>
      </c>
      <c r="F513" s="50">
        <f t="shared" si="87"/>
        <v>48000</v>
      </c>
    </row>
    <row r="514" spans="1:6" ht="33.75" x14ac:dyDescent="0.25">
      <c r="A514" s="60" t="s">
        <v>639</v>
      </c>
      <c r="B514" s="61" t="s">
        <v>134</v>
      </c>
      <c r="C514" s="45" t="s">
        <v>824</v>
      </c>
      <c r="D514" s="50">
        <f t="shared" si="93"/>
        <v>48000</v>
      </c>
      <c r="E514" s="50">
        <f t="shared" si="93"/>
        <v>0</v>
      </c>
      <c r="F514" s="50">
        <f t="shared" si="87"/>
        <v>48000</v>
      </c>
    </row>
    <row r="515" spans="1:6" ht="25.5" customHeight="1" x14ac:dyDescent="0.25">
      <c r="A515" s="57" t="s">
        <v>640</v>
      </c>
      <c r="B515" s="61" t="s">
        <v>134</v>
      </c>
      <c r="C515" s="43" t="s">
        <v>348</v>
      </c>
      <c r="D515" s="50">
        <f t="shared" si="93"/>
        <v>48000</v>
      </c>
      <c r="E515" s="50">
        <f t="shared" si="93"/>
        <v>0</v>
      </c>
      <c r="F515" s="50">
        <f t="shared" si="87"/>
        <v>48000</v>
      </c>
    </row>
    <row r="516" spans="1:6" ht="22.5" x14ac:dyDescent="0.25">
      <c r="A516" s="57" t="s">
        <v>522</v>
      </c>
      <c r="B516" s="61" t="s">
        <v>134</v>
      </c>
      <c r="C516" s="45" t="s">
        <v>825</v>
      </c>
      <c r="D516" s="50">
        <f t="shared" si="93"/>
        <v>48000</v>
      </c>
      <c r="E516" s="50">
        <f t="shared" si="93"/>
        <v>0</v>
      </c>
      <c r="F516" s="50">
        <f t="shared" si="87"/>
        <v>48000</v>
      </c>
    </row>
    <row r="517" spans="1:6" ht="22.5" x14ac:dyDescent="0.25">
      <c r="A517" s="60" t="s">
        <v>523</v>
      </c>
      <c r="B517" s="61" t="s">
        <v>134</v>
      </c>
      <c r="C517" s="45" t="s">
        <v>826</v>
      </c>
      <c r="D517" s="50">
        <f t="shared" si="93"/>
        <v>48000</v>
      </c>
      <c r="E517" s="50">
        <f t="shared" si="93"/>
        <v>0</v>
      </c>
      <c r="F517" s="50">
        <f t="shared" si="87"/>
        <v>48000</v>
      </c>
    </row>
    <row r="518" spans="1:6" ht="23.25" thickBot="1" x14ac:dyDescent="0.3">
      <c r="A518" s="60" t="s">
        <v>524</v>
      </c>
      <c r="B518" s="61" t="s">
        <v>134</v>
      </c>
      <c r="C518" s="45" t="s">
        <v>827</v>
      </c>
      <c r="D518" s="50">
        <f>48000</f>
        <v>48000</v>
      </c>
      <c r="E518" s="50">
        <v>0</v>
      </c>
      <c r="F518" s="50">
        <f t="shared" si="87"/>
        <v>48000</v>
      </c>
    </row>
    <row r="519" spans="1:6" ht="15.75" thickBot="1" x14ac:dyDescent="0.3">
      <c r="A519" s="93" t="s">
        <v>349</v>
      </c>
      <c r="B519" s="94" t="s">
        <v>350</v>
      </c>
      <c r="C519" s="95" t="s">
        <v>30</v>
      </c>
      <c r="D519" s="96">
        <v>-243547952.36000001</v>
      </c>
      <c r="E519" s="96">
        <v>-27616900.379999999</v>
      </c>
      <c r="F519" s="97" t="s">
        <v>30</v>
      </c>
    </row>
  </sheetData>
  <mergeCells count="7">
    <mergeCell ref="F3:F5"/>
    <mergeCell ref="A1:E1"/>
    <mergeCell ref="A3:A5"/>
    <mergeCell ref="B3:B5"/>
    <mergeCell ref="C3:C5"/>
    <mergeCell ref="D3:D5"/>
    <mergeCell ref="E3:E5"/>
  </mergeCells>
  <pageMargins left="0.39374999999999999" right="0.39374999999999999" top="0.39374999999999999" bottom="0.39374999999999999" header="0" footer="0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workbookViewId="0">
      <selection activeCell="A41" sqref="A41"/>
    </sheetView>
  </sheetViews>
  <sheetFormatPr defaultRowHeight="15" x14ac:dyDescent="0.25"/>
  <cols>
    <col min="1" max="1" width="46.42578125" style="1" customWidth="1"/>
    <col min="2" max="2" width="13.28515625" style="1" customWidth="1"/>
    <col min="3" max="3" width="24.28515625" style="1" customWidth="1"/>
    <col min="4" max="6" width="19.85546875" style="1" customWidth="1"/>
    <col min="7" max="16384" width="9.140625" style="1"/>
  </cols>
  <sheetData>
    <row r="1" spans="1:6" ht="15" customHeight="1" x14ac:dyDescent="0.25">
      <c r="A1" s="144"/>
      <c r="B1" s="145"/>
      <c r="C1" s="146"/>
      <c r="D1" s="134"/>
      <c r="E1" s="147"/>
      <c r="F1" s="138" t="s">
        <v>351</v>
      </c>
    </row>
    <row r="2" spans="1:6" ht="14.1" customHeight="1" x14ac:dyDescent="0.25">
      <c r="A2" s="173" t="s">
        <v>352</v>
      </c>
      <c r="B2" s="174"/>
      <c r="C2" s="174"/>
      <c r="D2" s="174"/>
      <c r="E2" s="174"/>
      <c r="F2" s="174"/>
    </row>
    <row r="3" spans="1:6" ht="12" customHeight="1" x14ac:dyDescent="0.25">
      <c r="A3" s="148"/>
      <c r="B3" s="149"/>
      <c r="C3" s="150"/>
      <c r="D3" s="151"/>
      <c r="E3" s="152"/>
      <c r="F3" s="153"/>
    </row>
    <row r="4" spans="1:6" ht="13.5" customHeight="1" x14ac:dyDescent="0.25">
      <c r="A4" s="169" t="s">
        <v>19</v>
      </c>
      <c r="B4" s="169" t="s">
        <v>20</v>
      </c>
      <c r="C4" s="169" t="s">
        <v>353</v>
      </c>
      <c r="D4" s="169" t="s">
        <v>22</v>
      </c>
      <c r="E4" s="169" t="s">
        <v>23</v>
      </c>
      <c r="F4" s="169" t="s">
        <v>24</v>
      </c>
    </row>
    <row r="5" spans="1:6" ht="12" customHeight="1" x14ac:dyDescent="0.25">
      <c r="A5" s="170"/>
      <c r="B5" s="170"/>
      <c r="C5" s="170"/>
      <c r="D5" s="170"/>
      <c r="E5" s="170"/>
      <c r="F5" s="170"/>
    </row>
    <row r="6" spans="1:6" ht="12" customHeight="1" x14ac:dyDescent="0.25">
      <c r="A6" s="170"/>
      <c r="B6" s="170"/>
      <c r="C6" s="170"/>
      <c r="D6" s="170"/>
      <c r="E6" s="170"/>
      <c r="F6" s="170"/>
    </row>
    <row r="7" spans="1:6" ht="11.25" customHeight="1" x14ac:dyDescent="0.25">
      <c r="A7" s="170"/>
      <c r="B7" s="170"/>
      <c r="C7" s="170"/>
      <c r="D7" s="170"/>
      <c r="E7" s="170"/>
      <c r="F7" s="170"/>
    </row>
    <row r="8" spans="1:6" ht="10.5" customHeight="1" x14ac:dyDescent="0.25">
      <c r="A8" s="170"/>
      <c r="B8" s="170"/>
      <c r="C8" s="170"/>
      <c r="D8" s="170"/>
      <c r="E8" s="170"/>
      <c r="F8" s="170"/>
    </row>
    <row r="9" spans="1:6" ht="12" customHeight="1" thickBot="1" x14ac:dyDescent="0.3">
      <c r="A9" s="135">
        <v>1</v>
      </c>
      <c r="B9" s="136">
        <v>2</v>
      </c>
      <c r="C9" s="139">
        <v>3</v>
      </c>
      <c r="D9" s="140" t="s">
        <v>25</v>
      </c>
      <c r="E9" s="140" t="s">
        <v>26</v>
      </c>
      <c r="F9" s="140" t="s">
        <v>27</v>
      </c>
    </row>
    <row r="10" spans="1:6" ht="18" customHeight="1" x14ac:dyDescent="0.25">
      <c r="A10" s="143" t="s">
        <v>354</v>
      </c>
      <c r="B10" s="154">
        <v>500</v>
      </c>
      <c r="C10" s="155" t="s">
        <v>30</v>
      </c>
      <c r="D10" s="137">
        <v>243247952.36000001</v>
      </c>
      <c r="E10" s="137">
        <v>73129543.209999993</v>
      </c>
      <c r="F10" s="141">
        <v>170118409.15000001</v>
      </c>
    </row>
    <row r="11" spans="1:6" ht="12" customHeight="1" x14ac:dyDescent="0.25">
      <c r="A11" s="156" t="s">
        <v>31</v>
      </c>
      <c r="B11" s="157"/>
      <c r="C11" s="158"/>
      <c r="D11" s="159"/>
      <c r="E11" s="159"/>
      <c r="F11" s="160"/>
    </row>
    <row r="12" spans="1:6" ht="18" customHeight="1" x14ac:dyDescent="0.25">
      <c r="A12" s="161" t="s">
        <v>355</v>
      </c>
      <c r="B12" s="157">
        <v>520</v>
      </c>
      <c r="C12" s="158" t="s">
        <v>30</v>
      </c>
      <c r="D12" s="162">
        <v>12082057.41</v>
      </c>
      <c r="E12" s="162" t="s">
        <v>62</v>
      </c>
      <c r="F12" s="163">
        <v>12082057.41</v>
      </c>
    </row>
    <row r="13" spans="1:6" ht="12" customHeight="1" x14ac:dyDescent="0.25">
      <c r="A13" s="164" t="s">
        <v>356</v>
      </c>
      <c r="B13" s="157"/>
      <c r="C13" s="158"/>
      <c r="D13" s="159"/>
      <c r="E13" s="159"/>
      <c r="F13" s="160"/>
    </row>
    <row r="14" spans="1:6" ht="18" customHeight="1" x14ac:dyDescent="0.25">
      <c r="A14" s="161"/>
      <c r="B14" s="157">
        <v>500</v>
      </c>
      <c r="C14" s="158" t="s">
        <v>357</v>
      </c>
      <c r="D14" s="162">
        <v>243247952.36000001</v>
      </c>
      <c r="E14" s="162">
        <v>73129543.209999993</v>
      </c>
      <c r="F14" s="163">
        <v>170118409.15000001</v>
      </c>
    </row>
    <row r="15" spans="1:6" ht="26.25" customHeight="1" x14ac:dyDescent="0.25">
      <c r="A15" s="142" t="s">
        <v>358</v>
      </c>
      <c r="B15" s="157">
        <v>520</v>
      </c>
      <c r="C15" s="158" t="s">
        <v>960</v>
      </c>
      <c r="D15" s="162">
        <v>12082057.41</v>
      </c>
      <c r="E15" s="162" t="s">
        <v>62</v>
      </c>
      <c r="F15" s="163">
        <v>12082057.41</v>
      </c>
    </row>
    <row r="16" spans="1:6" ht="27" customHeight="1" x14ac:dyDescent="0.25">
      <c r="A16" s="142" t="s">
        <v>359</v>
      </c>
      <c r="B16" s="157">
        <v>520</v>
      </c>
      <c r="C16" s="158" t="s">
        <v>961</v>
      </c>
      <c r="D16" s="162">
        <v>12082057.41</v>
      </c>
      <c r="E16" s="162" t="s">
        <v>62</v>
      </c>
      <c r="F16" s="163">
        <v>12082057.41</v>
      </c>
    </row>
    <row r="17" spans="1:6" ht="28.5" customHeight="1" x14ac:dyDescent="0.25">
      <c r="A17" s="142" t="s">
        <v>360</v>
      </c>
      <c r="B17" s="157">
        <v>520</v>
      </c>
      <c r="C17" s="158" t="s">
        <v>962</v>
      </c>
      <c r="D17" s="162">
        <v>12082057.41</v>
      </c>
      <c r="E17" s="162" t="s">
        <v>62</v>
      </c>
      <c r="F17" s="163">
        <v>12082057.41</v>
      </c>
    </row>
    <row r="18" spans="1:6" ht="15" customHeight="1" x14ac:dyDescent="0.25">
      <c r="A18" s="165" t="s">
        <v>361</v>
      </c>
      <c r="B18" s="157">
        <v>620</v>
      </c>
      <c r="C18" s="158" t="s">
        <v>30</v>
      </c>
      <c r="D18" s="162" t="s">
        <v>62</v>
      </c>
      <c r="E18" s="162" t="s">
        <v>62</v>
      </c>
      <c r="F18" s="163" t="s">
        <v>62</v>
      </c>
    </row>
    <row r="19" spans="1:6" ht="14.1" customHeight="1" x14ac:dyDescent="0.25">
      <c r="A19" s="166" t="s">
        <v>356</v>
      </c>
      <c r="B19" s="157"/>
      <c r="C19" s="158"/>
      <c r="D19" s="159"/>
      <c r="E19" s="159"/>
      <c r="F19" s="160"/>
    </row>
    <row r="20" spans="1:6" ht="17.25" customHeight="1" x14ac:dyDescent="0.25">
      <c r="A20" s="165" t="s">
        <v>362</v>
      </c>
      <c r="B20" s="157">
        <v>700</v>
      </c>
      <c r="C20" s="158" t="s">
        <v>963</v>
      </c>
      <c r="D20" s="162">
        <v>231165894.94999999</v>
      </c>
      <c r="E20" s="162">
        <v>73129543.209999993</v>
      </c>
      <c r="F20" s="163">
        <v>158036351.74000001</v>
      </c>
    </row>
    <row r="21" spans="1:6" ht="18" customHeight="1" x14ac:dyDescent="0.25">
      <c r="A21" s="165" t="s">
        <v>363</v>
      </c>
      <c r="B21" s="157">
        <v>710</v>
      </c>
      <c r="C21" s="158" t="s">
        <v>964</v>
      </c>
      <c r="D21" s="162">
        <v>-314367540.74000001</v>
      </c>
      <c r="E21" s="162">
        <v>-344472371.73000002</v>
      </c>
      <c r="F21" s="167" t="s">
        <v>364</v>
      </c>
    </row>
    <row r="22" spans="1:6" ht="18" customHeight="1" x14ac:dyDescent="0.25">
      <c r="A22" s="142" t="s">
        <v>365</v>
      </c>
      <c r="B22" s="157">
        <v>710</v>
      </c>
      <c r="C22" s="158" t="s">
        <v>965</v>
      </c>
      <c r="D22" s="162">
        <v>-314367540.74000001</v>
      </c>
      <c r="E22" s="162">
        <v>-344472371.73000002</v>
      </c>
      <c r="F22" s="167" t="s">
        <v>364</v>
      </c>
    </row>
    <row r="23" spans="1:6" ht="22.5" customHeight="1" x14ac:dyDescent="0.25">
      <c r="A23" s="142" t="s">
        <v>366</v>
      </c>
      <c r="B23" s="157">
        <v>710</v>
      </c>
      <c r="C23" s="158" t="s">
        <v>966</v>
      </c>
      <c r="D23" s="162">
        <v>-314367540.74000001</v>
      </c>
      <c r="E23" s="162">
        <v>-344472371.73000002</v>
      </c>
      <c r="F23" s="167" t="s">
        <v>364</v>
      </c>
    </row>
    <row r="24" spans="1:6" ht="25.5" customHeight="1" x14ac:dyDescent="0.25">
      <c r="A24" s="142" t="s">
        <v>367</v>
      </c>
      <c r="B24" s="157">
        <v>710</v>
      </c>
      <c r="C24" s="158" t="s">
        <v>967</v>
      </c>
      <c r="D24" s="162">
        <v>-314367540.74000001</v>
      </c>
      <c r="E24" s="162">
        <v>-344472371.73000002</v>
      </c>
      <c r="F24" s="167" t="s">
        <v>364</v>
      </c>
    </row>
    <row r="25" spans="1:6" ht="27" customHeight="1" x14ac:dyDescent="0.25">
      <c r="A25" s="165" t="s">
        <v>368</v>
      </c>
      <c r="B25" s="157">
        <v>720</v>
      </c>
      <c r="C25" s="158" t="s">
        <v>968</v>
      </c>
      <c r="D25" s="162">
        <v>545533435.69000006</v>
      </c>
      <c r="E25" s="162">
        <v>417601914.94</v>
      </c>
      <c r="F25" s="167" t="s">
        <v>364</v>
      </c>
    </row>
    <row r="26" spans="1:6" ht="14.1" customHeight="1" x14ac:dyDescent="0.25">
      <c r="A26" s="142" t="s">
        <v>369</v>
      </c>
      <c r="B26" s="157">
        <v>720</v>
      </c>
      <c r="C26" s="168" t="s">
        <v>969</v>
      </c>
      <c r="D26" s="162">
        <v>545533435.69000006</v>
      </c>
      <c r="E26" s="162">
        <v>417601914.94</v>
      </c>
      <c r="F26" s="167" t="s">
        <v>364</v>
      </c>
    </row>
    <row r="27" spans="1:6" ht="18" customHeight="1" x14ac:dyDescent="0.25">
      <c r="A27" s="142" t="s">
        <v>370</v>
      </c>
      <c r="B27" s="157">
        <v>720</v>
      </c>
      <c r="C27" s="168" t="s">
        <v>970</v>
      </c>
      <c r="D27" s="162">
        <v>545533435.69000006</v>
      </c>
      <c r="E27" s="162">
        <v>417601914.94</v>
      </c>
      <c r="F27" s="167" t="s">
        <v>364</v>
      </c>
    </row>
    <row r="28" spans="1:6" ht="26.25" customHeight="1" thickBot="1" x14ac:dyDescent="0.3">
      <c r="A28" s="142" t="s">
        <v>371</v>
      </c>
      <c r="B28" s="157">
        <v>720</v>
      </c>
      <c r="C28" s="168" t="s">
        <v>971</v>
      </c>
      <c r="D28" s="162">
        <v>545533435.69000006</v>
      </c>
      <c r="E28" s="162">
        <v>417601914.94</v>
      </c>
      <c r="F28" s="167" t="s">
        <v>364</v>
      </c>
    </row>
    <row r="29" spans="1:6" ht="9.9499999999999993" customHeight="1" x14ac:dyDescent="0.25">
      <c r="A29" s="71"/>
      <c r="B29" s="72"/>
      <c r="C29" s="72"/>
      <c r="D29" s="73"/>
      <c r="E29" s="74"/>
      <c r="F29" s="74"/>
    </row>
    <row r="30" spans="1:6" ht="9.9499999999999993" customHeight="1" x14ac:dyDescent="0.25">
      <c r="A30" s="65"/>
      <c r="B30" s="63"/>
      <c r="C30" s="63"/>
      <c r="D30" s="79"/>
      <c r="E30" s="78"/>
      <c r="F30" s="78"/>
    </row>
    <row r="31" spans="1:6" ht="18" customHeight="1" x14ac:dyDescent="0.25">
      <c r="A31" s="85" t="s">
        <v>990</v>
      </c>
      <c r="B31" s="182" t="s">
        <v>991</v>
      </c>
      <c r="C31" s="182"/>
      <c r="D31" s="80"/>
      <c r="E31" s="81"/>
      <c r="F31" s="81"/>
    </row>
    <row r="32" spans="1:6" ht="9.9499999999999993" customHeight="1" x14ac:dyDescent="0.25">
      <c r="A32" s="86" t="s">
        <v>372</v>
      </c>
      <c r="B32" s="183" t="s">
        <v>373</v>
      </c>
      <c r="C32" s="183"/>
      <c r="D32" s="78"/>
      <c r="E32" s="78"/>
      <c r="F32" s="78"/>
    </row>
    <row r="33" spans="1:6" ht="17.100000000000001" customHeight="1" x14ac:dyDescent="0.25">
      <c r="A33" s="87"/>
      <c r="B33" s="88"/>
      <c r="C33" s="89"/>
      <c r="D33" s="76"/>
      <c r="E33" s="76"/>
      <c r="F33" s="76"/>
    </row>
    <row r="34" spans="1:6" ht="12" customHeight="1" x14ac:dyDescent="0.25">
      <c r="A34" s="90" t="s">
        <v>972</v>
      </c>
      <c r="B34" s="182" t="s">
        <v>973</v>
      </c>
      <c r="C34" s="182"/>
      <c r="D34" s="77"/>
      <c r="E34" s="76"/>
      <c r="F34" s="76"/>
    </row>
    <row r="35" spans="1:6" ht="9" customHeight="1" x14ac:dyDescent="0.25">
      <c r="A35" s="91" t="s">
        <v>372</v>
      </c>
      <c r="B35" s="183" t="s">
        <v>373</v>
      </c>
      <c r="C35" s="183"/>
      <c r="D35" s="82"/>
      <c r="E35" s="76"/>
      <c r="F35" s="76"/>
    </row>
    <row r="36" spans="1:6" ht="17.100000000000001" customHeight="1" x14ac:dyDescent="0.25">
      <c r="A36" s="65"/>
      <c r="B36" s="64"/>
      <c r="C36" s="64"/>
      <c r="D36" s="82"/>
      <c r="E36" s="75"/>
      <c r="F36" s="75"/>
    </row>
    <row r="37" spans="1:6" ht="15" hidden="1" customHeight="1" x14ac:dyDescent="0.25">
      <c r="A37" s="70"/>
      <c r="B37" s="70"/>
      <c r="C37" s="70"/>
      <c r="D37" s="83"/>
      <c r="E37" s="83"/>
      <c r="F37" s="83"/>
    </row>
    <row r="38" spans="1:6" ht="15" hidden="1" customHeight="1" x14ac:dyDescent="0.25">
      <c r="A38" s="66"/>
      <c r="B38" s="66"/>
      <c r="C38" s="66"/>
      <c r="D38" s="67"/>
      <c r="E38" s="67"/>
      <c r="F38" s="68"/>
    </row>
    <row r="39" spans="1:6" ht="15" hidden="1" customHeight="1" x14ac:dyDescent="0.25">
      <c r="A39" s="69"/>
      <c r="B39" s="69"/>
      <c r="C39" s="69"/>
      <c r="D39" s="84"/>
      <c r="E39" s="84"/>
      <c r="F39" s="84"/>
    </row>
    <row r="40" spans="1:6" x14ac:dyDescent="0.25">
      <c r="A40" s="92" t="s">
        <v>997</v>
      </c>
      <c r="B40" s="51"/>
      <c r="C40" s="51"/>
    </row>
    <row r="41" spans="1:6" x14ac:dyDescent="0.25">
      <c r="A41" s="51"/>
      <c r="B41" s="51"/>
      <c r="C41" s="51"/>
    </row>
    <row r="42" spans="1:6" x14ac:dyDescent="0.25">
      <c r="A42" s="51"/>
      <c r="B42" s="51"/>
      <c r="C42" s="51"/>
    </row>
    <row r="43" spans="1:6" x14ac:dyDescent="0.25">
      <c r="A43" s="51"/>
      <c r="B43" s="51"/>
      <c r="C43" s="51"/>
    </row>
    <row r="44" spans="1:6" x14ac:dyDescent="0.25">
      <c r="A44" s="51"/>
      <c r="B44" s="51"/>
      <c r="C44" s="51"/>
    </row>
  </sheetData>
  <mergeCells count="11">
    <mergeCell ref="A2:F2"/>
    <mergeCell ref="A4:A8"/>
    <mergeCell ref="B4:B8"/>
    <mergeCell ref="C4:C8"/>
    <mergeCell ref="D4:D8"/>
    <mergeCell ref="E4:E8"/>
    <mergeCell ref="F4:F8"/>
    <mergeCell ref="B31:C31"/>
    <mergeCell ref="B35:C35"/>
    <mergeCell ref="B32:C32"/>
    <mergeCell ref="B34:C34"/>
  </mergeCells>
  <pageMargins left="0.70833330000000005" right="0.70833330000000005" top="0.74791660000000004" bottom="0.74791660000000004" header="0.3152778" footer="0.3152778"/>
  <pageSetup paperSize="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7"/>
    <Parameter Name="ReportMode" Type="System.Int32" Value="7"/>
  </Parameters>
</MailMerge>
</file>

<file path=customXml/itemProps1.xml><?xml version="1.0" encoding="utf-8"?>
<ds:datastoreItem xmlns:ds="http://schemas.openxmlformats.org/officeDocument/2006/customXml" ds:itemID="{3A0C340F-625D-4F0E-91B2-3BED3418DFF8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 </vt:lpstr>
      <vt:lpstr>Источники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Костромина Дарья Леонидовна</dc:creator>
  <cp:lastModifiedBy>Костромина Дарья Леонидовна</cp:lastModifiedBy>
  <dcterms:created xsi:type="dcterms:W3CDTF">2016-05-06T01:07:46Z</dcterms:created>
  <dcterms:modified xsi:type="dcterms:W3CDTF">2016-10-07T05:44:30Z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eport Name">
    <vt:lpwstr>C:\Users\Kostromina\AppData\Local\Кейсистемс\Свод-Смарт\ReportManager\sv_0503117m_20160101__win_1_4.xlsx</vt:lpwstr>
  </property>
</Properties>
</file>